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/>
  <xr:revisionPtr revIDLastSave="0" documentId="13_ncr:1_{39FBF177-1938-4E42-8191-58D7AAFA2DB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KTUÁLNÍ PI zm. č.5" sheetId="18" r:id="rId1"/>
  </sheets>
  <definedNames>
    <definedName name="_xlnm._FilterDatabase" localSheetId="0" hidden="1">'AKTUÁLNÍ PI zm. č.5'!$A$4:$AA$508</definedName>
    <definedName name="_xlnm.Print_Titles" localSheetId="0">'AKTUÁLNÍ PI zm. č.5'!$1:$3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8" i="18" l="1"/>
  <c r="N407" i="18"/>
  <c r="N406" i="18"/>
  <c r="N405" i="18"/>
  <c r="N404" i="18"/>
  <c r="U210" i="18"/>
  <c r="H525" i="18" l="1"/>
  <c r="K88" i="18"/>
  <c r="K87" i="18"/>
  <c r="K74" i="18"/>
  <c r="K72" i="18"/>
  <c r="K51" i="18"/>
  <c r="K50" i="18"/>
  <c r="K475" i="18" l="1"/>
  <c r="K450" i="18"/>
  <c r="K436" i="18"/>
  <c r="K385" i="18"/>
  <c r="K344" i="18"/>
  <c r="K324" i="18"/>
  <c r="K17" i="18"/>
  <c r="K260" i="18"/>
  <c r="H209" i="18"/>
  <c r="K226" i="18" l="1"/>
  <c r="K215" i="18"/>
  <c r="K207" i="18"/>
  <c r="M205" i="18"/>
  <c r="N318" i="18" l="1"/>
  <c r="N317" i="18"/>
  <c r="N316" i="18"/>
  <c r="N315" i="18"/>
  <c r="N314" i="18"/>
  <c r="N313" i="18"/>
  <c r="N312" i="18"/>
  <c r="N311" i="18"/>
  <c r="N310" i="18"/>
  <c r="N309" i="18"/>
  <c r="N308" i="18"/>
  <c r="N307" i="18"/>
  <c r="N306" i="18"/>
  <c r="N305" i="18"/>
  <c r="N304" i="18"/>
  <c r="N303" i="18"/>
  <c r="N302" i="18"/>
  <c r="N301" i="18"/>
  <c r="N300" i="18"/>
  <c r="N299" i="18"/>
  <c r="N298" i="18"/>
  <c r="N297" i="18"/>
  <c r="N296" i="18"/>
  <c r="N295" i="18"/>
  <c r="N294" i="18"/>
  <c r="M293" i="18"/>
  <c r="N293" i="18" s="1"/>
  <c r="K293" i="18"/>
  <c r="N292" i="18"/>
  <c r="N291" i="18"/>
  <c r="N290" i="18"/>
  <c r="N289" i="18"/>
  <c r="N288" i="18"/>
  <c r="N287" i="18"/>
  <c r="N286" i="18"/>
  <c r="N285" i="18"/>
  <c r="N284" i="18"/>
  <c r="N283" i="18"/>
  <c r="N282" i="18"/>
  <c r="N281" i="18"/>
  <c r="N280" i="18"/>
  <c r="N279" i="18"/>
  <c r="N278" i="18"/>
  <c r="N277" i="18"/>
  <c r="N276" i="18"/>
  <c r="N275" i="18"/>
  <c r="N274" i="18"/>
  <c r="N273" i="18"/>
  <c r="N272" i="18"/>
  <c r="N271" i="18"/>
  <c r="N270" i="18"/>
  <c r="N269" i="18"/>
  <c r="N268" i="18"/>
  <c r="N267" i="18"/>
  <c r="N266" i="18"/>
  <c r="N265" i="18"/>
  <c r="N264" i="18"/>
  <c r="N263" i="18"/>
  <c r="N262" i="18"/>
  <c r="N261" i="18"/>
  <c r="N260" i="18"/>
  <c r="H260" i="18"/>
  <c r="N259" i="18"/>
  <c r="N258" i="18"/>
  <c r="N257" i="18"/>
  <c r="N256" i="18"/>
  <c r="N255" i="18"/>
  <c r="N254" i="18"/>
  <c r="N253" i="18"/>
  <c r="N252" i="18"/>
  <c r="N250" i="18"/>
  <c r="M249" i="18"/>
  <c r="N249" i="18" s="1"/>
  <c r="N248" i="18"/>
  <c r="N247" i="18"/>
  <c r="N246" i="18"/>
  <c r="N245" i="18"/>
  <c r="N244" i="18"/>
  <c r="N243" i="18"/>
  <c r="N242" i="18"/>
  <c r="N241" i="18"/>
  <c r="N239" i="18"/>
  <c r="H239" i="18"/>
  <c r="N238" i="18"/>
  <c r="N237" i="18"/>
  <c r="N236" i="18"/>
  <c r="N235" i="18"/>
  <c r="N234" i="18"/>
  <c r="N233" i="18"/>
  <c r="N232" i="18"/>
  <c r="N231" i="18"/>
  <c r="N230" i="18"/>
  <c r="T229" i="18"/>
  <c r="N229" i="18"/>
  <c r="N228" i="18"/>
  <c r="N227" i="18"/>
  <c r="N226" i="18"/>
  <c r="N225" i="18"/>
  <c r="N224" i="18"/>
  <c r="N223" i="18"/>
  <c r="N222" i="18"/>
  <c r="H222" i="18"/>
  <c r="N221" i="18"/>
  <c r="N220" i="18"/>
  <c r="N219" i="18"/>
  <c r="N218" i="18"/>
  <c r="N217" i="18"/>
  <c r="N216" i="18"/>
  <c r="N215" i="18"/>
  <c r="N214" i="18"/>
  <c r="K214" i="18"/>
  <c r="N213" i="18"/>
  <c r="N212" i="18"/>
  <c r="N211" i="18"/>
  <c r="L209" i="18"/>
  <c r="N208" i="18"/>
  <c r="H208" i="18"/>
  <c r="N207" i="18"/>
  <c r="N206" i="18"/>
  <c r="N204" i="18"/>
  <c r="H204" i="18"/>
  <c r="N209" i="18" l="1"/>
  <c r="L322" i="18"/>
  <c r="N205" i="18"/>
  <c r="K423" i="18" l="1"/>
  <c r="K52" i="18" l="1"/>
  <c r="H46" i="18"/>
  <c r="K458" i="18"/>
  <c r="N499" i="18"/>
  <c r="U29" i="18"/>
  <c r="K322" i="18" l="1"/>
  <c r="N374" i="18" l="1"/>
  <c r="K501" i="18" l="1"/>
  <c r="K62" i="18" l="1"/>
  <c r="H62" i="18"/>
  <c r="N201" i="18" l="1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T83" i="18"/>
  <c r="N83" i="18"/>
  <c r="K83" i="18"/>
  <c r="I83" i="18"/>
  <c r="N82" i="18"/>
  <c r="H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K56" i="18"/>
  <c r="H56" i="18"/>
  <c r="N55" i="18"/>
  <c r="N54" i="18"/>
  <c r="N53" i="18"/>
  <c r="N52" i="18"/>
  <c r="M51" i="18"/>
  <c r="N51" i="18" s="1"/>
  <c r="N50" i="18"/>
  <c r="N49" i="18"/>
  <c r="N48" i="18"/>
  <c r="H48" i="18"/>
  <c r="N47" i="18"/>
  <c r="N46" i="18"/>
  <c r="K46" i="18" s="1"/>
  <c r="N45" i="18"/>
  <c r="K45" i="18" s="1"/>
  <c r="H45" i="18"/>
  <c r="N203" i="18" l="1"/>
  <c r="N420" i="18" l="1"/>
  <c r="N419" i="18"/>
  <c r="K419" i="18"/>
  <c r="N502" i="18" l="1"/>
  <c r="N498" i="18" l="1"/>
  <c r="N497" i="18"/>
  <c r="N495" i="18"/>
  <c r="N494" i="18"/>
  <c r="N493" i="18"/>
  <c r="N492" i="18"/>
  <c r="N491" i="18"/>
  <c r="N490" i="18"/>
  <c r="N489" i="18"/>
  <c r="N488" i="18"/>
  <c r="N487" i="18"/>
  <c r="N486" i="18"/>
  <c r="N485" i="18"/>
  <c r="N484" i="18"/>
  <c r="N483" i="18"/>
  <c r="N482" i="18"/>
  <c r="N481" i="18"/>
  <c r="N480" i="18"/>
  <c r="N479" i="18"/>
  <c r="N478" i="18"/>
  <c r="N477" i="18"/>
  <c r="N476" i="18"/>
  <c r="N475" i="18"/>
  <c r="N474" i="18"/>
  <c r="N473" i="18"/>
  <c r="N472" i="18"/>
  <c r="N471" i="18"/>
  <c r="N470" i="18"/>
  <c r="N469" i="18"/>
  <c r="N468" i="18"/>
  <c r="N467" i="18"/>
  <c r="N466" i="18"/>
  <c r="N465" i="18"/>
  <c r="N464" i="18"/>
  <c r="N463" i="18"/>
  <c r="N462" i="18"/>
  <c r="N461" i="18"/>
  <c r="N460" i="18"/>
  <c r="N459" i="18"/>
  <c r="N458" i="18"/>
  <c r="N457" i="18"/>
  <c r="N456" i="18"/>
  <c r="N455" i="18"/>
  <c r="N454" i="18"/>
  <c r="N453" i="18"/>
  <c r="N452" i="18"/>
  <c r="N451" i="18"/>
  <c r="N450" i="18"/>
  <c r="N449" i="18"/>
  <c r="N448" i="18"/>
  <c r="N447" i="18"/>
  <c r="N446" i="18"/>
  <c r="N445" i="18"/>
  <c r="N444" i="18"/>
  <c r="N443" i="18"/>
  <c r="N442" i="18"/>
  <c r="N441" i="18"/>
  <c r="N440" i="18"/>
  <c r="N439" i="18"/>
  <c r="N438" i="18"/>
  <c r="N437" i="18"/>
  <c r="N436" i="18"/>
  <c r="N435" i="18"/>
  <c r="N434" i="18"/>
  <c r="N433" i="18"/>
  <c r="N432" i="18"/>
  <c r="N431" i="18"/>
  <c r="N430" i="18"/>
  <c r="N429" i="18"/>
  <c r="N428" i="18"/>
  <c r="N427" i="18"/>
  <c r="N426" i="18"/>
  <c r="N425" i="18"/>
  <c r="N424" i="18"/>
  <c r="N423" i="18"/>
  <c r="N403" i="18" l="1"/>
  <c r="N402" i="18"/>
  <c r="N401" i="18"/>
  <c r="N400" i="18"/>
  <c r="N399" i="18"/>
  <c r="N398" i="18"/>
  <c r="N397" i="18"/>
  <c r="N396" i="18"/>
  <c r="N395" i="18"/>
  <c r="N394" i="18"/>
  <c r="N393" i="18"/>
  <c r="N392" i="18"/>
  <c r="N391" i="18"/>
  <c r="N390" i="18"/>
  <c r="N389" i="18"/>
  <c r="N388" i="18"/>
  <c r="N387" i="18"/>
  <c r="N386" i="18"/>
  <c r="K386" i="18"/>
  <c r="N385" i="18"/>
  <c r="N384" i="18"/>
  <c r="N383" i="18"/>
  <c r="N382" i="18"/>
  <c r="N381" i="18"/>
  <c r="N380" i="18"/>
  <c r="N379" i="18"/>
  <c r="N378" i="18"/>
  <c r="N377" i="18"/>
  <c r="K377" i="18"/>
  <c r="N373" i="18" l="1"/>
  <c r="N372" i="18"/>
  <c r="N371" i="18"/>
  <c r="N370" i="18"/>
  <c r="N369" i="18"/>
  <c r="N368" i="18"/>
  <c r="N367" i="18"/>
  <c r="N366" i="18"/>
  <c r="N365" i="18"/>
  <c r="N364" i="18"/>
  <c r="N363" i="18"/>
  <c r="N362" i="18"/>
  <c r="N361" i="18"/>
  <c r="N360" i="18"/>
  <c r="N359" i="18"/>
  <c r="N358" i="18"/>
  <c r="N357" i="18"/>
  <c r="N356" i="18"/>
  <c r="N355" i="18"/>
  <c r="N354" i="18"/>
  <c r="N353" i="18"/>
  <c r="N352" i="18"/>
  <c r="N351" i="18"/>
  <c r="N350" i="18"/>
  <c r="K350" i="18" s="1"/>
  <c r="N349" i="18"/>
  <c r="N348" i="18"/>
  <c r="N347" i="18"/>
  <c r="N346" i="18"/>
  <c r="N345" i="18"/>
  <c r="N344" i="18"/>
  <c r="N343" i="18"/>
  <c r="N342" i="18"/>
  <c r="N341" i="18"/>
  <c r="N340" i="18"/>
  <c r="N339" i="18"/>
  <c r="N338" i="18"/>
  <c r="N337" i="18"/>
  <c r="N336" i="18"/>
  <c r="N335" i="18"/>
  <c r="N334" i="18"/>
  <c r="N333" i="18"/>
  <c r="N332" i="18"/>
  <c r="N331" i="18"/>
  <c r="N330" i="18"/>
  <c r="N329" i="18"/>
  <c r="N328" i="18"/>
  <c r="N327" i="18"/>
  <c r="N326" i="18"/>
  <c r="N325" i="18"/>
  <c r="N324" i="18"/>
  <c r="N323" i="18"/>
  <c r="N6" i="18" l="1"/>
  <c r="H6" i="18"/>
  <c r="T5" i="18"/>
  <c r="N5" i="18"/>
  <c r="N40" i="18" l="1"/>
  <c r="N39" i="18"/>
  <c r="H39" i="18"/>
  <c r="N38" i="18"/>
  <c r="N37" i="18"/>
  <c r="N36" i="18"/>
  <c r="H36" i="18"/>
  <c r="N35" i="18"/>
  <c r="H35" i="18"/>
  <c r="N34" i="18"/>
  <c r="N33" i="18"/>
  <c r="N32" i="18"/>
  <c r="N31" i="18"/>
  <c r="N30" i="18"/>
  <c r="H30" i="18"/>
  <c r="T29" i="18"/>
  <c r="N29" i="18"/>
  <c r="T28" i="18"/>
  <c r="S28" i="18"/>
  <c r="N28" i="18"/>
  <c r="H28" i="18"/>
  <c r="N27" i="18"/>
  <c r="I27" i="18"/>
  <c r="H27" i="18"/>
  <c r="T26" i="18"/>
  <c r="N26" i="18"/>
  <c r="H26" i="18"/>
  <c r="N20" i="18" l="1"/>
  <c r="K20" i="18"/>
  <c r="H20" i="18"/>
  <c r="N19" i="18"/>
  <c r="H19" i="18"/>
  <c r="N18" i="18"/>
  <c r="N17" i="18"/>
  <c r="H17" i="18"/>
  <c r="N16" i="18"/>
  <c r="K16" i="18"/>
  <c r="T15" i="18"/>
  <c r="R15" i="18"/>
  <c r="N15" i="18"/>
  <c r="N14" i="18"/>
  <c r="N13" i="18"/>
  <c r="K13" i="18"/>
  <c r="H13" i="18"/>
  <c r="N12" i="18"/>
  <c r="T11" i="18"/>
  <c r="M11" i="18"/>
  <c r="N11" i="18" s="1"/>
  <c r="K11" i="18"/>
  <c r="H11" i="18"/>
  <c r="R10" i="18" l="1"/>
  <c r="S10" i="18"/>
  <c r="R25" i="18"/>
  <c r="S25" i="18"/>
  <c r="R44" i="18"/>
  <c r="S44" i="18"/>
  <c r="R203" i="18"/>
  <c r="S203" i="18"/>
  <c r="R322" i="18"/>
  <c r="S322" i="18"/>
  <c r="R376" i="18"/>
  <c r="S376" i="18"/>
  <c r="R410" i="18"/>
  <c r="S410" i="18"/>
  <c r="R415" i="18"/>
  <c r="S415" i="18"/>
  <c r="R418" i="18"/>
  <c r="S418" i="18"/>
  <c r="R422" i="18"/>
  <c r="S422" i="18"/>
  <c r="R501" i="18"/>
  <c r="S501" i="18"/>
  <c r="R504" i="18"/>
  <c r="S504" i="18"/>
  <c r="S505" i="18" l="1"/>
  <c r="S506" i="18" s="1"/>
  <c r="R505" i="18"/>
  <c r="R506" i="18" s="1"/>
  <c r="V504" i="18" l="1"/>
  <c r="U504" i="18"/>
  <c r="T504" i="18"/>
  <c r="Q504" i="18"/>
  <c r="P504" i="18"/>
  <c r="O504" i="18"/>
  <c r="M504" i="18"/>
  <c r="K504" i="18"/>
  <c r="I504" i="18"/>
  <c r="H504" i="18"/>
  <c r="V501" i="18"/>
  <c r="U501" i="18"/>
  <c r="T501" i="18"/>
  <c r="Q501" i="18"/>
  <c r="P501" i="18"/>
  <c r="O501" i="18"/>
  <c r="M501" i="18"/>
  <c r="I501" i="18"/>
  <c r="H501" i="18"/>
  <c r="V422" i="18"/>
  <c r="U422" i="18"/>
  <c r="T422" i="18"/>
  <c r="Q422" i="18"/>
  <c r="P422" i="18"/>
  <c r="O422" i="18"/>
  <c r="M422" i="18"/>
  <c r="K422" i="18"/>
  <c r="I422" i="18"/>
  <c r="H422" i="18"/>
  <c r="V418" i="18"/>
  <c r="U418" i="18"/>
  <c r="T418" i="18"/>
  <c r="Q418" i="18"/>
  <c r="P418" i="18"/>
  <c r="O418" i="18"/>
  <c r="M418" i="18"/>
  <c r="K418" i="18"/>
  <c r="I418" i="18"/>
  <c r="H418" i="18"/>
  <c r="N416" i="18"/>
  <c r="N418" i="18" s="1"/>
  <c r="V415" i="18"/>
  <c r="U415" i="18"/>
  <c r="T415" i="18"/>
  <c r="Q415" i="18"/>
  <c r="P415" i="18"/>
  <c r="O415" i="18"/>
  <c r="M415" i="18"/>
  <c r="K415" i="18"/>
  <c r="I415" i="18"/>
  <c r="H415" i="18"/>
  <c r="V410" i="18"/>
  <c r="U410" i="18"/>
  <c r="T410" i="18"/>
  <c r="Q410" i="18"/>
  <c r="P410" i="18"/>
  <c r="O410" i="18"/>
  <c r="M410" i="18"/>
  <c r="I410" i="18"/>
  <c r="H410" i="18"/>
  <c r="V376" i="18"/>
  <c r="U376" i="18"/>
  <c r="Q376" i="18"/>
  <c r="P376" i="18"/>
  <c r="O376" i="18"/>
  <c r="M376" i="18"/>
  <c r="I376" i="18"/>
  <c r="H376" i="18"/>
  <c r="K376" i="18"/>
  <c r="V322" i="18"/>
  <c r="U322" i="18"/>
  <c r="T322" i="18"/>
  <c r="Q322" i="18"/>
  <c r="O322" i="18"/>
  <c r="M322" i="18"/>
  <c r="V203" i="18"/>
  <c r="U203" i="18"/>
  <c r="Q203" i="18"/>
  <c r="P203" i="18"/>
  <c r="O203" i="18"/>
  <c r="M203" i="18"/>
  <c r="T203" i="18"/>
  <c r="V44" i="18"/>
  <c r="U44" i="18"/>
  <c r="T44" i="18"/>
  <c r="Q44" i="18"/>
  <c r="P44" i="18"/>
  <c r="O44" i="18"/>
  <c r="M44" i="18"/>
  <c r="K44" i="18"/>
  <c r="I44" i="18"/>
  <c r="H44" i="18"/>
  <c r="V25" i="18"/>
  <c r="U25" i="18"/>
  <c r="T25" i="18"/>
  <c r="Q25" i="18"/>
  <c r="P25" i="18"/>
  <c r="O25" i="18"/>
  <c r="M25" i="18"/>
  <c r="K25" i="18"/>
  <c r="I25" i="18"/>
  <c r="H25" i="18"/>
  <c r="V10" i="18"/>
  <c r="U10" i="18"/>
  <c r="T10" i="18"/>
  <c r="Q10" i="18"/>
  <c r="P10" i="18"/>
  <c r="O10" i="18"/>
  <c r="M10" i="18"/>
  <c r="I10" i="18"/>
  <c r="H10" i="18"/>
  <c r="I322" i="18" l="1"/>
  <c r="K10" i="18"/>
  <c r="K410" i="18"/>
  <c r="V505" i="18"/>
  <c r="V506" i="18" s="1"/>
  <c r="N25" i="18"/>
  <c r="O505" i="18"/>
  <c r="O506" i="18" s="1"/>
  <c r="N504" i="18"/>
  <c r="P322" i="18"/>
  <c r="I203" i="18"/>
  <c r="N322" i="18"/>
  <c r="N10" i="18"/>
  <c r="M505" i="18"/>
  <c r="M506" i="18" s="1"/>
  <c r="Q505" i="18"/>
  <c r="Q506" i="18" s="1"/>
  <c r="H203" i="18"/>
  <c r="N501" i="18"/>
  <c r="H322" i="18"/>
  <c r="U505" i="18"/>
  <c r="U506" i="18" s="1"/>
  <c r="N44" i="18"/>
  <c r="N410" i="18"/>
  <c r="N376" i="18"/>
  <c r="N415" i="18"/>
  <c r="N422" i="18"/>
  <c r="T376" i="18"/>
  <c r="T505" i="18" s="1"/>
  <c r="T506" i="18" s="1"/>
  <c r="P505" i="18" l="1"/>
  <c r="P506" i="18" s="1"/>
  <c r="I505" i="18"/>
  <c r="I506" i="18" s="1"/>
  <c r="K203" i="18"/>
  <c r="H505" i="18"/>
  <c r="H506" i="18" s="1"/>
  <c r="N505" i="18"/>
  <c r="K505" i="18" l="1"/>
  <c r="K506" i="18" s="1"/>
  <c r="N506" i="18"/>
  <c r="N507" i="18" l="1"/>
  <c r="H529" i="18" l="1"/>
  <c r="H528" i="18" l="1"/>
  <c r="H530" i="18" s="1"/>
</calcChain>
</file>

<file path=xl/sharedStrings.xml><?xml version="1.0" encoding="utf-8"?>
<sst xmlns="http://schemas.openxmlformats.org/spreadsheetml/2006/main" count="5462" uniqueCount="1670">
  <si>
    <t>v tis. Kč</t>
  </si>
  <si>
    <t>Poř. č.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</si>
  <si>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</si>
  <si>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</si>
  <si>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</si>
  <si>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</si>
  <si>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</si>
  <si>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</si>
  <si>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Předpoklad v roce 2020</t>
  </si>
  <si>
    <t>Poznámka</t>
  </si>
  <si>
    <t>Odložené financování na rok 2019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</si>
  <si>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</si>
  <si>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</si>
  <si>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</si>
  <si>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</si>
  <si>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</si>
  <si>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</si>
  <si>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</si>
  <si>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</si>
  <si>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1/2019/OŘÚ</t>
  </si>
  <si>
    <t>0001911</t>
  </si>
  <si>
    <t>Výměna oken v budově KÚ</t>
  </si>
  <si>
    <t>PŘÍPRAVA VZ</t>
  </si>
  <si>
    <t>2/2019</t>
  </si>
  <si>
    <t>2/2019/OŘÚ</t>
  </si>
  <si>
    <t>0001513</t>
  </si>
  <si>
    <t>Pořízení nových  kopírovacích strojů</t>
  </si>
  <si>
    <t>10/2019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</si>
  <si>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</si>
  <si>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</si>
  <si>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</si>
  <si>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</si>
  <si>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</si>
  <si>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</si>
  <si>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</si>
  <si>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</si>
  <si>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</si>
  <si>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</si>
  <si>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</si>
  <si>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</si>
  <si>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</si>
  <si>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</si>
  <si>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</si>
  <si>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</si>
  <si>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</si>
  <si>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</si>
  <si>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0001514</t>
  </si>
  <si>
    <t>Investiční software dle konkrétních požadavků odborů</t>
  </si>
  <si>
    <t>REALIZACE</t>
  </si>
  <si>
    <t>0001803</t>
  </si>
  <si>
    <t>Výpočetní technika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</si>
  <si>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</si>
  <si>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</si>
  <si>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</si>
  <si>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</si>
  <si>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</si>
  <si>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</si>
  <si>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Záložní UPS pro Technologická centra kraje</t>
  </si>
  <si>
    <t>Zakázka může být realizována až po dokončení VZ na obnovu TCK</t>
  </si>
  <si>
    <t>Nákup a obnova výpočetní techniky</t>
  </si>
  <si>
    <t>Modernizace počítačové učebny a zasedací místnosti Rady SčK</t>
  </si>
  <si>
    <t>Datové sklady pro příspěvkové organizace</t>
  </si>
  <si>
    <t>Rozšíření hostované spisové služby o modul eIDAS</t>
  </si>
  <si>
    <t xml:space="preserve">Zavedení enterprise architektury do řízení eGovernmentu na úrovni krajského úřadu </t>
  </si>
  <si>
    <t>Přechod IS GINIS na verzi Enterprise</t>
  </si>
  <si>
    <t>Rozšíření IS GINIS o Mobilní EPK a EPK nad příjmy</t>
  </si>
  <si>
    <t>Rozšíření IS GINIS o Dokumentový konverzní server</t>
  </si>
  <si>
    <t>1/2019/DOP</t>
  </si>
  <si>
    <t>0000120</t>
  </si>
  <si>
    <t>Výkup pozemků (včetně pod stávající sítí)</t>
  </si>
  <si>
    <t>DOP</t>
  </si>
  <si>
    <t>2/2019/DOP</t>
  </si>
  <si>
    <t>0000121</t>
  </si>
  <si>
    <t>Příprava a zabezpečení staveb silnic II. a III. třídy a drážní stavby pro lehká kolejová vozidla-tramvaje</t>
  </si>
  <si>
    <t>3/2019/DOP</t>
  </si>
  <si>
    <t>0003985</t>
  </si>
  <si>
    <t>4/2019/DOP</t>
  </si>
  <si>
    <t>0004300</t>
  </si>
  <si>
    <t>KSÚS</t>
  </si>
  <si>
    <t>III/3377 Kutná Hora - zajištění stability tělesa komunikace v Kremnické ulici  II.etapa</t>
  </si>
  <si>
    <t>5/2019/DOP</t>
  </si>
  <si>
    <t>0003947</t>
  </si>
  <si>
    <t>IDSK</t>
  </si>
  <si>
    <t>IDSK - vybavení IT technika</t>
  </si>
  <si>
    <t>6/2019/DOP</t>
  </si>
  <si>
    <t>0003946</t>
  </si>
  <si>
    <t>IDSK - nákup osobních automobilů</t>
  </si>
  <si>
    <t>9/2019/DOP</t>
  </si>
  <si>
    <t>0004619</t>
  </si>
  <si>
    <t>II/272 Kounice - Bříství, rekonstrukce</t>
  </si>
  <si>
    <t>11/2019/DOP</t>
  </si>
  <si>
    <t>0004621</t>
  </si>
  <si>
    <t>II/104 a III/1052  Jílové u Prahy, rekonstrukce silnice</t>
  </si>
  <si>
    <t>13/2019/DOP</t>
  </si>
  <si>
    <t>II/610 Chudoplesy, dopravně bezpečnostní opatření</t>
  </si>
  <si>
    <t>14/2019/DOP</t>
  </si>
  <si>
    <t>II/105 Všetice, most ev. č. 105-013</t>
  </si>
  <si>
    <t>15/2019/DOP</t>
  </si>
  <si>
    <t>0004009</t>
  </si>
  <si>
    <t>Automatické sčítače cyklistů</t>
  </si>
  <si>
    <t>16/2019/DOP</t>
  </si>
  <si>
    <t>0004213</t>
  </si>
  <si>
    <t>Výkupy pozemků při výstavbě cyklostezek</t>
  </si>
  <si>
    <t>17/2019/DOP</t>
  </si>
  <si>
    <t>045-24/2018/RK ze dne 6.8.2018
041-15/2018/ZK ze dne 27.8.2018</t>
  </si>
  <si>
    <t>III/00712 Knovíz, havarijní oprava mostu ev.č.00712-6</t>
  </si>
  <si>
    <t>18/2019/DOP</t>
  </si>
  <si>
    <t>II/330 Poříčany, úprava křižovatky s III/3308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</si>
  <si>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</si>
  <si>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</si>
  <si>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</si>
  <si>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</si>
  <si>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22/2019/DOP</t>
  </si>
  <si>
    <t>III/10226 Nečín - Bělohrad</t>
  </si>
  <si>
    <t>23/2019/DOP</t>
  </si>
  <si>
    <t>III/00513 Chrášťany - Chýně, havarijní stav silničního tělesa</t>
  </si>
  <si>
    <t>24/2019/DOP</t>
  </si>
  <si>
    <t>III/0069 a III/10138 Pletený Újezd, oprava silnice</t>
  </si>
  <si>
    <t>25/2019/DOP</t>
  </si>
  <si>
    <t>II/101 Říčany, mobilní protihluková stěna</t>
  </si>
  <si>
    <t>26/2019/DOP</t>
  </si>
  <si>
    <t>III/01013 Nepřevázka - most ev.č.01013-1</t>
  </si>
  <si>
    <t>27/2019/DOP</t>
  </si>
  <si>
    <t>II/121 rekonstrukce opěrné zdi v Prčici</t>
  </si>
  <si>
    <t>28/2019/DOP</t>
  </si>
  <si>
    <t>29/2019/DOP</t>
  </si>
  <si>
    <t>III/3297 Plaňany</t>
  </si>
  <si>
    <t>30/2019/DOP</t>
  </si>
  <si>
    <t>II/605 Rudná, zvýšení bezpečnosti</t>
  </si>
  <si>
    <t>31/2019/DOP</t>
  </si>
  <si>
    <t>Zvýšení bezpečnosti chodců na 3 přechodech pro pěší v obcích Libeň a Libeř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</si>
  <si>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</si>
  <si>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</si>
  <si>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</si>
  <si>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</si>
  <si>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</si>
  <si>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</si>
  <si>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</si>
  <si>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</si>
  <si>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37/2019/DOP</t>
  </si>
  <si>
    <t>III/32924 Všechlapy</t>
  </si>
  <si>
    <t>38/2019/DOP</t>
  </si>
  <si>
    <t>III/1304 Vlkaneč - hr.kraje</t>
  </si>
  <si>
    <t>39/2019/DOP</t>
  </si>
  <si>
    <t>II/125 Vlašim, Vlasákova ul. (mezi OK a mostem 125-019)</t>
  </si>
  <si>
    <t>44/2019/DOP</t>
  </si>
  <si>
    <t>III/11554 Hluboš - odvodnění</t>
  </si>
  <si>
    <t>45/2019/DOP</t>
  </si>
  <si>
    <t>II/125 Kamberk, svodidla</t>
  </si>
  <si>
    <t>47/2019/DOP</t>
  </si>
  <si>
    <t>III/0075 Dolany - Hostouň</t>
  </si>
  <si>
    <t>48/2019/DOP</t>
  </si>
  <si>
    <t>III/3392 - křiž.II/339 Červené Janovice - Zhoř</t>
  </si>
  <si>
    <t>49/2019/DOP</t>
  </si>
  <si>
    <t>III/39911 Klipec po křižovatku III/32912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</si>
  <si>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</si>
  <si>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</si>
  <si>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</si>
  <si>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</si>
  <si>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</si>
  <si>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</si>
  <si>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</si>
  <si>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</si>
  <si>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83/2019/DOP</t>
  </si>
  <si>
    <t>III/27612-1, Husí Lhota, most ev.č.27612-1 přes meliorační sběrač</t>
  </si>
  <si>
    <t>84/2019/DOP</t>
  </si>
  <si>
    <t>III/12550 Červené Pečky, most ev.č. 12550-3, havarijní oprava</t>
  </si>
  <si>
    <t>85/2019/DOP</t>
  </si>
  <si>
    <t>III/1182 Zaječov, most ev.č.1182 přes Mourový potok v obci Zaječov</t>
  </si>
  <si>
    <t>87/2019/DOP</t>
  </si>
  <si>
    <t>Mobilní váhy pro kamióny</t>
  </si>
  <si>
    <t>0003388</t>
  </si>
  <si>
    <t>SOŠ a SOU Hořovice</t>
  </si>
  <si>
    <t>Rekonstrukce staré budovy výukového centra Tlustice 2.etapa</t>
  </si>
  <si>
    <t>0003389</t>
  </si>
  <si>
    <t>SOŠ a SOU řemesel Kutná Hora</t>
  </si>
  <si>
    <t>Rekonstrukce dílen SOŠ a SOU řemesel (stavební práce, strojní vybavení, software)</t>
  </si>
  <si>
    <t>0003709</t>
  </si>
  <si>
    <t>Gymnázium Říčany, Komenského 1280</t>
  </si>
  <si>
    <t>Výstavba nové tělocvičny u Gymnázia Říčany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</si>
  <si>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</si>
  <si>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</si>
  <si>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</si>
  <si>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</si>
  <si>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0003844</t>
  </si>
  <si>
    <t>VOŠ a SZeŠ Benešov</t>
  </si>
  <si>
    <t>Energetické úspory VOŠ a SZeŠ Benešov</t>
  </si>
  <si>
    <t>0003847</t>
  </si>
  <si>
    <t>Gymnázium Dr. Josefa Pekaře Mladá Boleslav</t>
  </si>
  <si>
    <t>Rekonstrukce elektrických rozvodů a svítidel</t>
  </si>
  <si>
    <t>0003848</t>
  </si>
  <si>
    <t>Gymnázium Benešov</t>
  </si>
  <si>
    <t>Výstavba tělocvičny Gymnázia Benešov</t>
  </si>
  <si>
    <t>0004086</t>
  </si>
  <si>
    <t>Obchodní akademie, Střední pedagogická škola a Jazyková škola s právem státní jazykové zkoušky, Beroun, U Stadionu 486</t>
  </si>
  <si>
    <t>Výměna oken včetně parapetů</t>
  </si>
  <si>
    <t>0004075</t>
  </si>
  <si>
    <t>Střední škola designu a řemesel Kladno</t>
  </si>
  <si>
    <t>Změna centrálního vytápění na plynovou kotelnu</t>
  </si>
  <si>
    <t>0004076</t>
  </si>
  <si>
    <t>PD a zateplení střechy budovy školy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</si>
  <si>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</si>
  <si>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</si>
  <si>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</si>
  <si>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0004054</t>
  </si>
  <si>
    <t>Rekonstrukce výměníkové stanice</t>
  </si>
  <si>
    <t>0004055</t>
  </si>
  <si>
    <t>Základní škola a Praktická škola, Český Brod, Žitomířská 1359</t>
  </si>
  <si>
    <t>Zateplení střechy, oprava obložení stropu a stěn tělocvičny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</si>
  <si>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</si>
  <si>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</si>
  <si>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</si>
  <si>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REKO soc. zařízení DM včetně revitalizace krytu</t>
  </si>
  <si>
    <t>0004063</t>
  </si>
  <si>
    <t>Základní škola speciální, Mladá Boleslav, Václavkova 950</t>
  </si>
  <si>
    <t>Nový objekt základní školy speciální</t>
  </si>
  <si>
    <t>0004064</t>
  </si>
  <si>
    <t>Střední odborná škola a Střední odborné učiliště, Horky nad Jizerou 35</t>
  </si>
  <si>
    <t>PD - změna vytápění budovy školy - zámek</t>
  </si>
  <si>
    <t>0004066</t>
  </si>
  <si>
    <t>Základní umělecká škola B. M. Černohorského, Nymburk, Palackého třída 574</t>
  </si>
  <si>
    <t>Stavební úpravy v podkroví budovy ZUŠ Nymburk</t>
  </si>
  <si>
    <t>0004096</t>
  </si>
  <si>
    <t>Střední zemědělská škola, Brandýs nad Labem - Stará Boleslav, Zápská 302</t>
  </si>
  <si>
    <t>PD a zateplení budovy</t>
  </si>
  <si>
    <t>0004686</t>
  </si>
  <si>
    <t>Dům dětí a mládeže Beroun</t>
  </si>
  <si>
    <t>Rekonstrukce objektu bývalého internátu</t>
  </si>
  <si>
    <t>0004797</t>
  </si>
  <si>
    <t>041-02/2018/RK ze dne 15.1.2018; 015-12/2018/ZK ze dne 29.1.2018</t>
  </si>
  <si>
    <t>Vyšší odborná škola a Střední zemědělská škola, Benešov, Mendelova 131</t>
  </si>
  <si>
    <t>Pořízení nové kotelny</t>
  </si>
  <si>
    <t>Rekonstrukce kotelny</t>
  </si>
  <si>
    <t>0004799</t>
  </si>
  <si>
    <t>Rekonstrukce kotelny školy</t>
  </si>
  <si>
    <t>0004773</t>
  </si>
  <si>
    <t xml:space="preserve">Základní škola, Mateřská škola speciální a Praktická škola, Jesenice, Plzeňská 63 </t>
  </si>
  <si>
    <t>Výtah - internát</t>
  </si>
  <si>
    <t>0004747</t>
  </si>
  <si>
    <t>Střední lesnická škola a Střední odborné učiliště, Křivoklát, Písky 181</t>
  </si>
  <si>
    <t>Výstavba centrální kotelny</t>
  </si>
  <si>
    <t>053-12/2018/Rk ze dne 6.4.2018         033-13/2018/ZK ze dne 26.4.2018</t>
  </si>
  <si>
    <t>0004988</t>
  </si>
  <si>
    <t>Komplexní rekonstrukce kanalizace v celém areálu školy</t>
  </si>
  <si>
    <t>0004990</t>
  </si>
  <si>
    <t>Dětský domov a Školní jídelna, Pyšely, Senohrabská 112</t>
  </si>
  <si>
    <t>Rekonstrukce DD a ŠJ</t>
  </si>
  <si>
    <t>0004937</t>
  </si>
  <si>
    <t>Základní umělecká škola Josefa Slavíka, Hořovice, Palackého náměstí 253</t>
  </si>
  <si>
    <t>Výstavba a rekonstrukce sociálního zařízení v budově ZUŠ</t>
  </si>
  <si>
    <t>0004960</t>
  </si>
  <si>
    <t>Základní škola, Mateřská škola a Praktická škola Kolín, příspěvková organizace</t>
  </si>
  <si>
    <t>Bezbarierový přístup do školní jídelny</t>
  </si>
  <si>
    <t>0004961</t>
  </si>
  <si>
    <t>Gymnázium Františka Palackého, Neratovice, Masarykova 450</t>
  </si>
  <si>
    <t>PD - půdní vestavba a nástavba</t>
  </si>
  <si>
    <t>0004962</t>
  </si>
  <si>
    <t>Střední škola oděvního a grafického designu, Lysá nad Labem, Stržiště 475</t>
  </si>
  <si>
    <t>Sociální zařízení v budově školy (č.p. 475)</t>
  </si>
  <si>
    <t>Střední odborné učiliště, Sedlčany, Petra Bezruče 364</t>
  </si>
  <si>
    <t>Plynofikace budovy školy 1. etapa</t>
  </si>
  <si>
    <t>0004969</t>
  </si>
  <si>
    <t>Rekonstrukce školního zařízení</t>
  </si>
  <si>
    <t>0005176</t>
  </si>
  <si>
    <t>058-19/2018/RK ze dne 4.6.2018       035-14/2018/ZK ze dne 25.6.2018</t>
  </si>
  <si>
    <t xml:space="preserve">Střední odborné učiliště, Nové Strašecí, Sportovní 1135 </t>
  </si>
  <si>
    <t>Oprava a zateplení fasády školy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</si>
  <si>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</si>
  <si>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</si>
  <si>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</si>
  <si>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</si>
  <si>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</si>
  <si>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</si>
  <si>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 xml:space="preserve">Střední průmyslová škola, Vlašim, Komenského 41 </t>
  </si>
  <si>
    <t xml:space="preserve">Olepovačka hran </t>
  </si>
  <si>
    <t xml:space="preserve">Workoutové streetové hřiště </t>
  </si>
  <si>
    <t>Fotbalová miniaréna – tělesná výchova a sport</t>
  </si>
  <si>
    <t xml:space="preserve">Dětský domov a Školní jídelna, Pyšely, Senohrabská 112  </t>
  </si>
  <si>
    <t xml:space="preserve">Osobní automobil 9 míst </t>
  </si>
  <si>
    <t xml:space="preserve">Dům dětí a mládeže „Na Výstavišti“, Mladá Boleslav, Husova 201  </t>
  </si>
  <si>
    <t>Celková obnova chatek a klubovny v Bezdědicích</t>
  </si>
  <si>
    <t xml:space="preserve">Střední odborná škola a Střední odborné učiliště, Horky nad Jizerou 35 </t>
  </si>
  <si>
    <t>Work out – sportovní zařízení pro školní zahradu</t>
  </si>
  <si>
    <t xml:space="preserve">Střední škola oděvního a grafického designu, Lysá nad Labem, Stržiště 475 </t>
  </si>
  <si>
    <t>Výtah na domově mládeže</t>
  </si>
  <si>
    <t xml:space="preserve">Střední zdravotnická škola a Vyšší odborná škola zdravotnická, Nymburk, Soudní 20 </t>
  </si>
  <si>
    <t xml:space="preserve">Půdní vestavba učeben </t>
  </si>
  <si>
    <t>Osobní výtah</t>
  </si>
  <si>
    <t>Střední odborná škola a Střední odborné učiliště, Městec Králové, T. G. Masaryka 4</t>
  </si>
  <si>
    <t>Soustruh</t>
  </si>
  <si>
    <t>Střední průmyslová škola a Vyšší odborná škola, Kladno, Jana Palacha 1840</t>
  </si>
  <si>
    <t>Zhotovení Work out hřiště</t>
  </si>
  <si>
    <t>Dětský domov a Školní jídelna, Nové Strašecí, Okružní 647</t>
  </si>
  <si>
    <t>Modernizace a rekonstrukce fyzikálního areálu školy</t>
  </si>
  <si>
    <t>Odkoupení pozemku (vinice Mělník)</t>
  </si>
  <si>
    <t>Střední průmyslová škola, Vlašim, Komenského 41</t>
  </si>
  <si>
    <t>Gymnázium Joachima Barranda, Beroun, Talichova 824</t>
  </si>
  <si>
    <t>Tělocvična pro Gymnázium Joachima Barranda</t>
  </si>
  <si>
    <t>1/2019/KUL</t>
  </si>
  <si>
    <t>0001913</t>
  </si>
  <si>
    <t>Oblastní  muzeum Praha - východ</t>
  </si>
  <si>
    <t>Památník národního útlaku a odboje Panenské Břežany - III. etapa zahrada</t>
  </si>
  <si>
    <t>Galerie Středočeského kraje</t>
  </si>
  <si>
    <t>Rabasova galerie Rakovník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</si>
  <si>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</si>
  <si>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</si>
  <si>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</si>
  <si>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</si>
  <si>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</si>
  <si>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</si>
  <si>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</si>
  <si>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</si>
  <si>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12/2019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</si>
  <si>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</si>
  <si>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</si>
  <si>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</si>
  <si>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</si>
  <si>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</si>
  <si>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</si>
  <si>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</si>
  <si>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Galerie středočeského kraje</t>
  </si>
  <si>
    <t>Vybudování kongresového centra v budově parkovacího domu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</si>
  <si>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</si>
  <si>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</si>
  <si>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</si>
  <si>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</si>
  <si>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>11/2019/KUL</t>
  </si>
  <si>
    <t>0004363</t>
  </si>
  <si>
    <t>Výstavba schodiště z chodby na půdu v Arnoldinovském domě</t>
  </si>
  <si>
    <t>6/2019</t>
  </si>
  <si>
    <t>12/2019/KUL</t>
  </si>
  <si>
    <t>0004357</t>
  </si>
  <si>
    <t>Nákup pozemku v areálu Muzea lidových staveb v Kouřimi</t>
  </si>
  <si>
    <t>13/2019/KUL</t>
  </si>
  <si>
    <t>0004463</t>
  </si>
  <si>
    <t>Památník Karla Čapka ve Staré Huti u Dobříše</t>
  </si>
  <si>
    <t>Výstavba čistírny odpadních vod</t>
  </si>
  <si>
    <t>15/2019/KUL</t>
  </si>
  <si>
    <t>0004468</t>
  </si>
  <si>
    <t>Muzeum Českého krasu</t>
  </si>
  <si>
    <t>Projektová příprava rekonstrukce</t>
  </si>
  <si>
    <t>3/2019</t>
  </si>
  <si>
    <t xml:space="preserve">Polabské muzeum </t>
  </si>
  <si>
    <t>Památník A. Dvořáka ve Vysoké u Příbrami</t>
  </si>
  <si>
    <t>19/2019/KUL</t>
  </si>
  <si>
    <t>0005085</t>
  </si>
  <si>
    <t>Sbírkotvorná činnost příspěvkových organizací - rozšiřování sbírek nákupem předmětů</t>
  </si>
  <si>
    <t>20/2019/KUL</t>
  </si>
  <si>
    <t>0005086</t>
  </si>
  <si>
    <t>Polabské muzeum</t>
  </si>
  <si>
    <t>22/2019/KUL</t>
  </si>
  <si>
    <t>0005153</t>
  </si>
  <si>
    <t>Regionální muzeum v Jílovém u Prahy</t>
  </si>
  <si>
    <t>Nákup pozemku v areálu Regionálního muzea v Jílovém u Prahy, p. o.</t>
  </si>
  <si>
    <t>24/2019/KUL</t>
  </si>
  <si>
    <t>0005186</t>
  </si>
  <si>
    <t>Statické zajištění stodoly v areálu Polabského národopisného muzea Přerov nad Labem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</si>
  <si>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</si>
  <si>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</si>
  <si>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</si>
  <si>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</si>
  <si>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</si>
  <si>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</si>
  <si>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</si>
  <si>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</si>
  <si>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27/2019/KUL</t>
  </si>
  <si>
    <t>0005456</t>
  </si>
  <si>
    <t xml:space="preserve">Doplnění nábytkových sestav pro návštěvníky </t>
  </si>
  <si>
    <t>28/2019/KUL</t>
  </si>
  <si>
    <t>0005457</t>
  </si>
  <si>
    <t>České muzeum stříbra</t>
  </si>
  <si>
    <t>Výměna venkovního schodiště u východu z dolu</t>
  </si>
  <si>
    <t>29/2019/KUL</t>
  </si>
  <si>
    <t>0005458</t>
  </si>
  <si>
    <t>Zřízení nové přípojky elektřiny Bratronice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</si>
  <si>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</si>
  <si>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</si>
  <si>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</si>
  <si>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</si>
  <si>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</si>
  <si>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32/2019/KUL</t>
  </si>
  <si>
    <t>0005464</t>
  </si>
  <si>
    <t>33/2019/KUL</t>
  </si>
  <si>
    <t>Rekonstrukce sociálního zařízení a úprava technického zázemí v Památníku Josefa Lady a jeho dcery v Hrusicích</t>
  </si>
  <si>
    <t>35/2019/KUL</t>
  </si>
  <si>
    <t xml:space="preserve">Rekonstrukce pokladny 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</si>
  <si>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</si>
  <si>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</si>
  <si>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</si>
  <si>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</si>
  <si>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</si>
  <si>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</si>
  <si>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</si>
  <si>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</si>
  <si>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</si>
  <si>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</si>
  <si>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42/2019/KUL</t>
  </si>
  <si>
    <t>Vybudování nového topení a čističky vody</t>
  </si>
  <si>
    <t>43/2019/KUL</t>
  </si>
  <si>
    <t xml:space="preserve"> Expanzní nádoby na zvýšení tlaku vody</t>
  </si>
  <si>
    <t>44/2019/KUL</t>
  </si>
  <si>
    <t>Modernizace expozice</t>
  </si>
  <si>
    <t>46/2019/KUL</t>
  </si>
  <si>
    <t>Zastřešení venkovního schodiště budovy Konírna</t>
  </si>
  <si>
    <t>47/2019/KUL</t>
  </si>
  <si>
    <t>Modernizace galerijního osvětlení expozice systémem LED v Arnoldinovském domě</t>
  </si>
  <si>
    <t>48/2019/KUL</t>
  </si>
  <si>
    <t>Regionální muzeum v Roztokách u Prahy</t>
  </si>
  <si>
    <t>Prodloužení podchodu Roztoky, společná investice SŽDC z roztockého nádraží do zámku</t>
  </si>
  <si>
    <t>1/2019/ZDR</t>
  </si>
  <si>
    <t>0001503</t>
  </si>
  <si>
    <t>ON Ml. Boleslav, a.s., nem. SČK</t>
  </si>
  <si>
    <t>Generel ON Mladá Boleslav, a.s., nemocnice Středočeského kraje - pavilon 7 (interna), pavilon 37 (parkoviště)</t>
  </si>
  <si>
    <t>2/2019/ZDR</t>
  </si>
  <si>
    <t>0002170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</si>
  <si>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</si>
  <si>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</si>
  <si>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</si>
  <si>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</si>
  <si>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</si>
  <si>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</si>
  <si>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</si>
  <si>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5/2019/ZDR</t>
  </si>
  <si>
    <t>0003347</t>
  </si>
  <si>
    <t xml:space="preserve">025-12/2015/RK ze dne 7.4.2015               007-16/2015/ZK ze dne 27.4.2015     </t>
  </si>
  <si>
    <t>9/2019/ZDR</t>
  </si>
  <si>
    <t>0003392</t>
  </si>
  <si>
    <t>10/2019/ZDR</t>
  </si>
  <si>
    <t>0002923</t>
  </si>
  <si>
    <t>Dětské centrum Strančice</t>
  </si>
  <si>
    <t>Rekonstrukce dětského centra Chocerady</t>
  </si>
  <si>
    <t>12/2019/ZDR</t>
  </si>
  <si>
    <t>0004205</t>
  </si>
  <si>
    <t>Obnova zdravotnické techniky v havarijním stavu</t>
  </si>
  <si>
    <t>14/2019/ZDR</t>
  </si>
  <si>
    <t>0004306</t>
  </si>
  <si>
    <t>Obnova vozového parku sanitních vozidel</t>
  </si>
  <si>
    <t>17/2019/ZDR</t>
  </si>
  <si>
    <t>0004310</t>
  </si>
  <si>
    <t>ON Příbram, a.s.</t>
  </si>
  <si>
    <t>Dokončení rekonstrukce křídla D4 monobloku - ambulance a zákrokové sály</t>
  </si>
  <si>
    <t>19/2019/ZDR</t>
  </si>
  <si>
    <t>0004441</t>
  </si>
  <si>
    <t>Rekonstrukce v hlavním pavilonu Nemocnice Kutná Hora</t>
  </si>
  <si>
    <t>20/2019/ZDR</t>
  </si>
  <si>
    <t>0004410</t>
  </si>
  <si>
    <t>Rekonstrukce pavilónu Patologie</t>
  </si>
  <si>
    <t>21/2019/ZDR</t>
  </si>
  <si>
    <t>Rekonstrukce porodního oddělení a lůžkového oddělení intermediální a pooperační péče</t>
  </si>
  <si>
    <t>Nem. Rudolfa a Stefanie Benešov, a. s., nem. SČK</t>
  </si>
  <si>
    <t>26/2019/ZDR</t>
  </si>
  <si>
    <t>Obnova a modernizace zdravotnické technologie</t>
  </si>
  <si>
    <t>28/2019/ZDR</t>
  </si>
  <si>
    <t>Záložní zdroje - obnova a doplnění</t>
  </si>
  <si>
    <t>29/2019/ZDR</t>
  </si>
  <si>
    <t>Projekty modernizace IT - dofinancování</t>
  </si>
  <si>
    <t>39/2019/ZDR</t>
  </si>
  <si>
    <t>Modernizace protialkoholní a protitoxikomanické záchytné služby</t>
  </si>
  <si>
    <t>42/2019/ZDR</t>
  </si>
  <si>
    <t xml:space="preserve">Rekonstrukce interního pavilonu </t>
  </si>
  <si>
    <t>1/2019/REG</t>
  </si>
  <si>
    <t>0002348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</si>
  <si>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</si>
  <si>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</si>
  <si>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</si>
  <si>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</si>
  <si>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</si>
  <si>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</si>
  <si>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</si>
  <si>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</si>
  <si>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1/2019/ŘDP</t>
  </si>
  <si>
    <t>0003821</t>
  </si>
  <si>
    <t>RDK</t>
  </si>
  <si>
    <t>Pořízení HW a SW vybavení pro zajištění činnosti Regionální dotační kanceláře, příspěvková organizace</t>
  </si>
  <si>
    <t>0004312</t>
  </si>
  <si>
    <t>Zajištění zabezpečenosti dodávky vody pro území Středočeského kraje v rámci Pražské metropolitní oblasti</t>
  </si>
  <si>
    <t>2/2019/SOC</t>
  </si>
  <si>
    <t>0004265</t>
  </si>
  <si>
    <t>Domov Rožďalovice</t>
  </si>
  <si>
    <t>Rekonstrukce centrálních koupelen - Zámek i Klášter</t>
  </si>
  <si>
    <t>Domov Sedlčany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</si>
  <si>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</si>
  <si>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</si>
  <si>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</si>
  <si>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</si>
  <si>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</si>
  <si>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</si>
  <si>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Rekonstrukce 5 bytů určených k nájmu</t>
  </si>
  <si>
    <t>Domov seniorů Benešov</t>
  </si>
  <si>
    <t>12/2019/SOC</t>
  </si>
  <si>
    <t>0004634</t>
  </si>
  <si>
    <t xml:space="preserve">Rekonstrukce budovy č.2 </t>
  </si>
  <si>
    <t>17/2019/SOC</t>
  </si>
  <si>
    <t>0004641</t>
  </si>
  <si>
    <t>Zahrada Kladno</t>
  </si>
  <si>
    <t>Zabezpečení objektu šachtice na rampě</t>
  </si>
  <si>
    <t>18/2019/SOC</t>
  </si>
  <si>
    <t>0004643</t>
  </si>
  <si>
    <t>Pračka</t>
  </si>
  <si>
    <t>19/2019/SOC</t>
  </si>
  <si>
    <t>0004644</t>
  </si>
  <si>
    <t>Sušička</t>
  </si>
  <si>
    <t>21/2019/SOC</t>
  </si>
  <si>
    <t>0004646</t>
  </si>
  <si>
    <t>Domov Hostomice - Zátor</t>
  </si>
  <si>
    <t xml:space="preserve">Vyasfaltování cesty v parku </t>
  </si>
  <si>
    <t>23/2019/SOC</t>
  </si>
  <si>
    <t>0004649</t>
  </si>
  <si>
    <t>25/2019/SOC</t>
  </si>
  <si>
    <t>0004658</t>
  </si>
  <si>
    <t>26/2019/SOC</t>
  </si>
  <si>
    <t>0004660</t>
  </si>
  <si>
    <t>Domov seniorů Úvaly</t>
  </si>
  <si>
    <t>Výměna osobního výtahu</t>
  </si>
  <si>
    <t>27/2019/SOC</t>
  </si>
  <si>
    <t>0004661</t>
  </si>
  <si>
    <t>Domov Velvary</t>
  </si>
  <si>
    <t>Rekonstrukce příjezdové cesty</t>
  </si>
  <si>
    <t>ZSI Kladno</t>
  </si>
  <si>
    <t>31/2019/SOC</t>
  </si>
  <si>
    <t>Rekonstrukce střechy DOZP</t>
  </si>
  <si>
    <t>35/2019/SOC</t>
  </si>
  <si>
    <t>Rekonstrukce balkonů a zábradlí</t>
  </si>
  <si>
    <t>36/2019/SOC</t>
  </si>
  <si>
    <t>0004662</t>
  </si>
  <si>
    <t>Výstavba nového plotu</t>
  </si>
  <si>
    <t>38/2019/SOC</t>
  </si>
  <si>
    <t>Rekonstrukce střechy týdenního stacionáře vč. krovů</t>
  </si>
  <si>
    <t>Domov seniorů Dobříš</t>
  </si>
  <si>
    <t>43/2019/SOC</t>
  </si>
  <si>
    <t>Luxor Poděbrady</t>
  </si>
  <si>
    <t>44/2019/SOC</t>
  </si>
  <si>
    <t>Výměna vnitřních zárubní a dveří</t>
  </si>
  <si>
    <t>45/2019/SOC</t>
  </si>
  <si>
    <t xml:space="preserve">Investiční příspěvek pro Domov seniorů Benešov na vybudování trafostanice </t>
  </si>
  <si>
    <t>46/2019/SOC</t>
  </si>
  <si>
    <t>47/2019/SOC</t>
  </si>
  <si>
    <t>Myčka nádobí</t>
  </si>
  <si>
    <t>Domov seniorů Uhlířské Janovice</t>
  </si>
  <si>
    <t>49/2019/SOC</t>
  </si>
  <si>
    <t>Stavební úpravy pro SAS</t>
  </si>
  <si>
    <t>55/2019/SOC</t>
  </si>
  <si>
    <t>Nalžovický zámek</t>
  </si>
  <si>
    <t>Centrum Rožmitál pod Třemšínem</t>
  </si>
  <si>
    <t>59/2019/SOC</t>
  </si>
  <si>
    <t>Domov seniorů Nové Strašecí</t>
  </si>
  <si>
    <t>66/2019/SOC</t>
  </si>
  <si>
    <t>Domov Slaný</t>
  </si>
  <si>
    <t>Stavební úpravy objektu Žižice</t>
  </si>
  <si>
    <t>1/2019/OBŘ</t>
  </si>
  <si>
    <t>0004724</t>
  </si>
  <si>
    <t>Projekt zvyšování bezpečnosti KÚSK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</si>
  <si>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</si>
  <si>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</si>
  <si>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</si>
  <si>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</si>
  <si>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</si>
  <si>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</si>
  <si>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</si>
  <si>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</si>
  <si>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sloučené,rozdělené, přejmenované akce, změna způsobu financování</t>
  </si>
  <si>
    <t>Finanční zdroje</t>
  </si>
  <si>
    <t>Prostředky celkem</t>
  </si>
  <si>
    <t>Použití na plánované akce</t>
  </si>
  <si>
    <t>CELKEM</t>
  </si>
  <si>
    <t>Střední průmyslová škola strojírenská a Jazyková škola s právem státní jazykové zkoušky, Kolín IV, Heverova 191</t>
  </si>
  <si>
    <t>Střední odborné učiliště stavební, Benešov, Jana Nohy 1302</t>
  </si>
  <si>
    <t>Gymnázium Jiřího Ortena, Kutná Hora, Jaselská 932</t>
  </si>
  <si>
    <t>Výměna oken</t>
  </si>
  <si>
    <t>Domov Kladno - Švermov</t>
  </si>
  <si>
    <t>Čerpáno k 31.12. 2018</t>
  </si>
  <si>
    <t>11/2019</t>
  </si>
  <si>
    <t>9/2019</t>
  </si>
  <si>
    <t>4/2019</t>
  </si>
  <si>
    <t>0005293</t>
  </si>
  <si>
    <t>0005294</t>
  </si>
  <si>
    <t>0005295</t>
  </si>
  <si>
    <t>0005296</t>
  </si>
  <si>
    <t>0005244</t>
  </si>
  <si>
    <t>0005245</t>
  </si>
  <si>
    <t>0005246</t>
  </si>
  <si>
    <t>0005247</t>
  </si>
  <si>
    <t>0005248</t>
  </si>
  <si>
    <t>0005249</t>
  </si>
  <si>
    <t>0005251</t>
  </si>
  <si>
    <t>0005252</t>
  </si>
  <si>
    <t>0005297</t>
  </si>
  <si>
    <t>Gymnázium, Benešov, Husova 470</t>
  </si>
  <si>
    <t>Rekonstrukce laboratoře chemie</t>
  </si>
  <si>
    <t xml:space="preserve">Přívěs na přepravu 2 koní </t>
  </si>
  <si>
    <t>Kombajn</t>
  </si>
  <si>
    <t>Připojení kanalizační přípojky na veřejnou kanalizační síť, Luční 1699</t>
  </si>
  <si>
    <t>Univerzální soustruh</t>
  </si>
  <si>
    <t>Univerzální frézka</t>
  </si>
  <si>
    <t>Rekonstrukce vjezdu, Velíšská</t>
  </si>
  <si>
    <t>Rekonstrukce sociálního zařízení a šaten, Velíšská</t>
  </si>
  <si>
    <t xml:space="preserve">Elektrospotřebiče ŠJ </t>
  </si>
  <si>
    <t>Dodávkový automobil pro OV (7 míst + náklad)</t>
  </si>
  <si>
    <t>Gymnázium, Vlašim, Tylova 271</t>
  </si>
  <si>
    <t>Integrovaná střední škola technická, Benešov, Černoleská 1997</t>
  </si>
  <si>
    <t>Pořízení CNC pracoviště</t>
  </si>
  <si>
    <t>Dětský domov, Unhošť, Berounská 1292</t>
  </si>
  <si>
    <t>Samostatný vjezd a příjezdová cesta</t>
  </si>
  <si>
    <t>Labyrint-středisko volného času, vzdělávání a služeb, Kladno, Arbesova 1187</t>
  </si>
  <si>
    <t>Montáž nového výtahu (bezbariérový přístup)</t>
  </si>
  <si>
    <t>Střední odborná škola a Střední odborné učiliště, Kladno, Dubská</t>
  </si>
  <si>
    <t>Rekonstrukce kuchyně a jídelny DM</t>
  </si>
  <si>
    <t>Sportovní gymnázium, Kladno, Plzeňská 3103</t>
  </si>
  <si>
    <t>Fasáda budovy včetně zateplení</t>
  </si>
  <si>
    <t>Rekonstrukce elektroinstalace budovy školy</t>
  </si>
  <si>
    <t>Střední odborná škola informatiky a spojů a Střední odborné učiliště, Kolín, Jaselská 826</t>
  </si>
  <si>
    <t>Rekonstrukce palubovky ve sportovní hale</t>
  </si>
  <si>
    <t>Vybavení školní zahrady pro relaxaci žáků se zdravotním postižením</t>
  </si>
  <si>
    <t>Střední škola obchodní, Kolín IV, Havlíčkova 42</t>
  </si>
  <si>
    <t>Rekonstrukce vytápění objektu tělocvičny</t>
  </si>
  <si>
    <t>Výměna tepelného zdroje</t>
  </si>
  <si>
    <t>Gymnázium a Střední odborná škola pedagogická, Čáslav, Masarykova 248</t>
  </si>
  <si>
    <t>Rekonstrukce a přístavba sociálního zařízení</t>
  </si>
  <si>
    <t>Zabezpečení ochrany školy</t>
  </si>
  <si>
    <t>Dvořákovo gymnázium a Střední odborná škola ekonomická, Kralupy nad Vltavou, Dvořákovo náměstí 800</t>
  </si>
  <si>
    <t>Rekonstrukce sportovního areálu</t>
  </si>
  <si>
    <t>Střední průmyslová škola stavební, Mělník, Českobratrská 386</t>
  </si>
  <si>
    <t>Školní rozhlas - evakuační</t>
  </si>
  <si>
    <t>Dětský domov a Školní jídelna, Kralupy nad Vltavou, U Sociálního domu 438</t>
  </si>
  <si>
    <t xml:space="preserve">Přístavba budovy - čajovny </t>
  </si>
  <si>
    <t>Integrovaná střední škola technická, Mělník, K učilišti 2566</t>
  </si>
  <si>
    <t>Rekonstrukce DM</t>
  </si>
  <si>
    <t>Střední odborné učiliště, Liběchov, Boží Voda 230</t>
  </si>
  <si>
    <t>Nákup 9 místného microbusu</t>
  </si>
  <si>
    <t xml:space="preserve">Střední odborné učiliště, Hubálov 17 </t>
  </si>
  <si>
    <t>Odborné učebny pro instalatéry</t>
  </si>
  <si>
    <t>Výměna oken v celé budově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</si>
  <si>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</si>
  <si>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</si>
  <si>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Střední zemědělská škola a Střední odborná škola Poděbrady, příspěvková organizace</t>
  </si>
  <si>
    <t>Nákup osobního užitkového automobilu (5+2 míst)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</si>
  <si>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</si>
  <si>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</si>
  <si>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</si>
  <si>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Nákup konvektomatu</t>
  </si>
  <si>
    <t>Gymnázium J. S. Machara, Brandýs nad Labem - Stará Boleslav, Královická 668</t>
  </si>
  <si>
    <t>Rekonstrukce a modernizace chemického areálu školy</t>
  </si>
  <si>
    <t xml:space="preserve">Integrovaná střední škola St.Kubra, Středokluky   </t>
  </si>
  <si>
    <t>Integrovaná střední škola St. Kubra, Středokluky</t>
  </si>
  <si>
    <t>Nákup 9 místného automobilu pro OV</t>
  </si>
  <si>
    <t>Gymnázium a Střední odborná škola ekonomická, Sedlčany, Nádražní 90</t>
  </si>
  <si>
    <t xml:space="preserve">Zateplení budovy školy a střechy </t>
  </si>
  <si>
    <t>Vyšší odborná škola a Střední odborná škola, Březnice, Rožmitálská 340</t>
  </si>
  <si>
    <t>Rekonstrukce křídla DM včetně vybavení</t>
  </si>
  <si>
    <t>Odborné učiliště, Praktická škola, Základní škola a Mateřská škola Příbram IV, příspěvková organizace</t>
  </si>
  <si>
    <t>Výměna el. rozvodů - dílny</t>
  </si>
  <si>
    <t>Výměna podlahy v tělocvičně</t>
  </si>
  <si>
    <t>Integrovaná střední škola hotelového provozu, obchodu a služeb, Příbram, Gen. R. Tesaříka 114</t>
  </si>
  <si>
    <t>Nový samostatný přístup do školy</t>
  </si>
  <si>
    <t>PD - snížení energetické náročnosti budov teorie a tělocvičny</t>
  </si>
  <si>
    <t>Masarykova obchodní akademie, Rakovník, Pražská  1222</t>
  </si>
  <si>
    <t>Výměna plynových kotlů včetně doplňkové technologie</t>
  </si>
  <si>
    <t>Zateplení objektů</t>
  </si>
  <si>
    <t>1/2019</t>
  </si>
  <si>
    <t>8/2019</t>
  </si>
  <si>
    <t>Příprava a zabezpečení záchytných parkovišť</t>
  </si>
  <si>
    <t>II/605 Chrášťany, úprava kruhové křižovatky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</si>
  <si>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</si>
  <si>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</si>
  <si>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</si>
  <si>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</si>
  <si>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</si>
  <si>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</si>
  <si>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>II/107 Kamenice</t>
  </si>
  <si>
    <t>III/3394 Petrovice, most ev.č. 3394-1</t>
  </si>
  <si>
    <t>11817-3 Luhy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</si>
  <si>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</si>
  <si>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</si>
  <si>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</si>
  <si>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</si>
  <si>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navýšení celkových nákladů na akci</t>
  </si>
  <si>
    <t>0005478</t>
  </si>
  <si>
    <t>0005477</t>
  </si>
  <si>
    <t>0005479</t>
  </si>
  <si>
    <t>0005388</t>
  </si>
  <si>
    <t>Výměna balkonových dveří a žaluzií</t>
  </si>
  <si>
    <t>0005387</t>
  </si>
  <si>
    <t>0005471</t>
  </si>
  <si>
    <t>0004891</t>
  </si>
  <si>
    <t>0005472</t>
  </si>
  <si>
    <t>0005473</t>
  </si>
  <si>
    <t>0005474</t>
  </si>
  <si>
    <t>0005475</t>
  </si>
  <si>
    <t>0005476</t>
  </si>
  <si>
    <t>Elektronická požární signalizace a PBŘ nemovitostí</t>
  </si>
  <si>
    <t>Rekonstrukce terasy ve zvýšeném přízemí</t>
  </si>
  <si>
    <t>Rekonstrukce terasy 1. patro</t>
  </si>
  <si>
    <t>Rekonstrukce prádelny</t>
  </si>
  <si>
    <t>Náhradní zdroj - nákup agregátu</t>
  </si>
  <si>
    <t>Rekonstrukce rozvodů vody včetně koupelen v objektu Kláštera Rožďalovice</t>
  </si>
  <si>
    <t>Rekonstrukce  pokojů II. Etapa 21 pokojů</t>
  </si>
  <si>
    <t>Vybudování zimní zahrady</t>
  </si>
  <si>
    <t>Rekonstrukce koupelen klientů 1. část</t>
  </si>
  <si>
    <t>Rekonstrukce kuchyně vč. vybavení a VZT</t>
  </si>
  <si>
    <t>Rekonstrukce VZT kuchyně a 2. etapa VZT + rekuper. jedn. vč PD</t>
  </si>
  <si>
    <t>Rekonstrukce signalizace sestra - pacient</t>
  </si>
  <si>
    <t>Nákup nem. pro chr. bydlení v Ml. Bol.</t>
  </si>
  <si>
    <t>Lapol - kuchyně</t>
  </si>
  <si>
    <t>Pořízení výtahu a vybudování bezbarierového přístupu</t>
  </si>
  <si>
    <t xml:space="preserve">Dodávka automobilů </t>
  </si>
  <si>
    <t>Vybudování relaxační zahrady vč. PD</t>
  </si>
  <si>
    <t>Vybudování komunikačního systému sestra-klient a EPS</t>
  </si>
  <si>
    <t>Domov Vraný</t>
  </si>
  <si>
    <t>Rekonstrukce okapů, svodů, části krovu a části fasády</t>
  </si>
  <si>
    <t>Nákup osobního automobilu</t>
  </si>
  <si>
    <t>Rekonstrukce střechy Gen. Eliáše 483, Kladno</t>
  </si>
  <si>
    <t>Park generací</t>
  </si>
  <si>
    <t>Rekonstrukce vnitřní počítačové sítě (intranetu)</t>
  </si>
  <si>
    <t>Oprava sociálního zařízení včetně bezbariérového WC</t>
  </si>
  <si>
    <t>9 místný automobil pro přepravu osob a nákladu</t>
  </si>
  <si>
    <t>88/2019/DOP</t>
  </si>
  <si>
    <t>89/2019/DOP</t>
  </si>
  <si>
    <t>90/2019/DOP</t>
  </si>
  <si>
    <t>91/2019/DOP</t>
  </si>
  <si>
    <t>92/2019/DOP</t>
  </si>
  <si>
    <t>93/2019/DOP</t>
  </si>
  <si>
    <t>94/2019/DOP</t>
  </si>
  <si>
    <t>96/2019/DOP</t>
  </si>
  <si>
    <t>97/2019/DOP</t>
  </si>
  <si>
    <t>99/2019/DOP</t>
  </si>
  <si>
    <t>100/2019/DOP</t>
  </si>
  <si>
    <t>101/2019/DOP</t>
  </si>
  <si>
    <t>102/2019/DOP</t>
  </si>
  <si>
    <t>103/2019/DOP</t>
  </si>
  <si>
    <t>104/2019/DOP</t>
  </si>
  <si>
    <t>105/2019/DOP</t>
  </si>
  <si>
    <t>6/2020</t>
  </si>
  <si>
    <t>0005483</t>
  </si>
  <si>
    <t>68/2019/SOC</t>
  </si>
  <si>
    <t>69/2019/SOC</t>
  </si>
  <si>
    <t>70/2019/SOC</t>
  </si>
  <si>
    <t>74/2019/SOC</t>
  </si>
  <si>
    <t>75/2019/SOC</t>
  </si>
  <si>
    <t>76/2019/SOC</t>
  </si>
  <si>
    <t>77/2019/SOC</t>
  </si>
  <si>
    <t>81/2019/SOC</t>
  </si>
  <si>
    <t>82/2019/SOC</t>
  </si>
  <si>
    <t>83/2019/SOC</t>
  </si>
  <si>
    <t>84/2019/SOC</t>
  </si>
  <si>
    <t>85/2019/SOC</t>
  </si>
  <si>
    <t>86/2019/SOC</t>
  </si>
  <si>
    <t>87/2019/SOC</t>
  </si>
  <si>
    <t>89/2019/SOC</t>
  </si>
  <si>
    <t>90/2019/SOC</t>
  </si>
  <si>
    <t>91/2019/SOC</t>
  </si>
  <si>
    <t>92/2019/SOC</t>
  </si>
  <si>
    <t>93/2019/SOC</t>
  </si>
  <si>
    <t>95/2019/SOC</t>
  </si>
  <si>
    <t>96/2019/SOC</t>
  </si>
  <si>
    <t>97/2019/SOC</t>
  </si>
  <si>
    <t>9/2020</t>
  </si>
  <si>
    <t>7/2019</t>
  </si>
  <si>
    <t>Neurčito</t>
  </si>
  <si>
    <t>0004974</t>
  </si>
  <si>
    <t>0004979</t>
  </si>
  <si>
    <t>0004981</t>
  </si>
  <si>
    <t>0004982</t>
  </si>
  <si>
    <t>0005307</t>
  </si>
  <si>
    <t>0005299</t>
  </si>
  <si>
    <t>67/2019/ZDR</t>
  </si>
  <si>
    <t>Komplexní rehabilitační centrum</t>
  </si>
  <si>
    <t>98/2019/ZDR</t>
  </si>
  <si>
    <t>Zdravotnická technologie pro Gynekologické oddělení</t>
  </si>
  <si>
    <t>126/2019/ZDR</t>
  </si>
  <si>
    <t>0004701</t>
  </si>
  <si>
    <t>0005318</t>
  </si>
  <si>
    <t>0004820</t>
  </si>
  <si>
    <t>0004821</t>
  </si>
  <si>
    <t>0004824</t>
  </si>
  <si>
    <t>0004825</t>
  </si>
  <si>
    <t>5/2019</t>
  </si>
  <si>
    <t>49/2019/KUL</t>
  </si>
  <si>
    <t>Revitalizace expozic Městského muzea Žebrák, pobočky MČK</t>
  </si>
  <si>
    <t>Obnova a modernizace zdravotnické technologie 2019</t>
  </si>
  <si>
    <t>písmo škrtnuto + poznámka</t>
  </si>
  <si>
    <t>Aktuální stav (Příprava VZ, Probíhá VZ, Realizace, Ukončeno,  Zrušeno)</t>
  </si>
  <si>
    <t>zeleně podbarveno + poznámka</t>
  </si>
  <si>
    <t>oranžově podbarveno</t>
  </si>
  <si>
    <t xml:space="preserve">Speciální vozidlo pro potřeby dopravní policie </t>
  </si>
  <si>
    <t>x</t>
  </si>
  <si>
    <t>0005319</t>
  </si>
  <si>
    <t>0005482</t>
  </si>
  <si>
    <t>0001783</t>
  </si>
  <si>
    <t>0005437</t>
  </si>
  <si>
    <t>0005448</t>
  </si>
  <si>
    <t>0005438</t>
  </si>
  <si>
    <t>0005439</t>
  </si>
  <si>
    <t>0005445</t>
  </si>
  <si>
    <t>0005446</t>
  </si>
  <si>
    <t>0005436</t>
  </si>
  <si>
    <t>0005434</t>
  </si>
  <si>
    <t>0005435</t>
  </si>
  <si>
    <t>0005442</t>
  </si>
  <si>
    <t>0005433</t>
  </si>
  <si>
    <t>průběžně</t>
  </si>
  <si>
    <t>Startovací byty</t>
  </si>
  <si>
    <t>Rozvoj Rabasovy galerie Rakovník, stavební úpravy a dostavba</t>
  </si>
  <si>
    <t>*</t>
  </si>
  <si>
    <t>045-24/2018/RK ze dne 6.8.2018
 041-15/2018/ZK ze dne 27.8.2018</t>
  </si>
  <si>
    <t>045-24/2018/RK ze dne 6.8.2018 
041-15/2018/ZK ze dne 27.8.2018</t>
  </si>
  <si>
    <t>Instruktážní a nácviková hala - ocelokolna včetně projektové dokumentace</t>
  </si>
  <si>
    <t>Finanční prostředky r. 2019</t>
  </si>
  <si>
    <t>Smlouva Ano/Ne</t>
  </si>
  <si>
    <t>Realizace fyzicky začala Ano/Ne</t>
  </si>
  <si>
    <t>051-39/2017/RK ze dne 13.11.2017  028-11/2017/ZK ze dne 5.12.2017</t>
  </si>
  <si>
    <t xml:space="preserve"> dílčí plnění jednotlivých akcí</t>
  </si>
  <si>
    <t>025-05/2019/RK ze dne 4.2.2019  101-17/2019/ZK ze dne 18.2.2019</t>
  </si>
  <si>
    <t>1/2019/INF</t>
  </si>
  <si>
    <t>2/2019/INF</t>
  </si>
  <si>
    <t>3/2019/INF</t>
  </si>
  <si>
    <t>5/2019/INF</t>
  </si>
  <si>
    <t>018-34/2018/RK ze dne 5.11.2018 128-16/2018/ZK ze dne 24.11.2018</t>
  </si>
  <si>
    <t>6/2019/INF</t>
  </si>
  <si>
    <t>8/2019/INF</t>
  </si>
  <si>
    <t>9/2019/INF</t>
  </si>
  <si>
    <t>10/2019/INF</t>
  </si>
  <si>
    <t>0005549</t>
  </si>
  <si>
    <t>11/2019/INF</t>
  </si>
  <si>
    <t>12/2019/INF</t>
  </si>
  <si>
    <t>0005548</t>
  </si>
  <si>
    <t>13/2019/INF</t>
  </si>
  <si>
    <t>14/2019/INF</t>
  </si>
  <si>
    <t>0005545</t>
  </si>
  <si>
    <t>15/2019/INF</t>
  </si>
  <si>
    <t>0005546</t>
  </si>
  <si>
    <t>16/2019/INF</t>
  </si>
  <si>
    <t>0005547</t>
  </si>
  <si>
    <t>17/2019/INF</t>
  </si>
  <si>
    <t>0005553</t>
  </si>
  <si>
    <t>Rozšíření IS FaMA+ pro příspěvkové organizace kraje</t>
  </si>
  <si>
    <t>Průběžně</t>
  </si>
  <si>
    <t>097-15/2017/RK ze dne 27. 4.2017  040-23/2017/RK ze dne 15.6.2017   038-07/2017/ZK ze dne 27.6.2017</t>
  </si>
  <si>
    <t>změna financování</t>
  </si>
  <si>
    <t>NE</t>
  </si>
  <si>
    <t>ANO</t>
  </si>
  <si>
    <t>069-42/2017/RK ze dne 4.12.2017 015-12/2018/ZK ze dne 29.1.2018</t>
  </si>
  <si>
    <t>076-04/2018/RK ze dne 5.2.2018  033-13/2018/ZK ze dne 26.4.2018</t>
  </si>
  <si>
    <t>0005512</t>
  </si>
  <si>
    <t>0005511</t>
  </si>
  <si>
    <t>0005501</t>
  </si>
  <si>
    <t>0005507</t>
  </si>
  <si>
    <t>ZRUŠENO</t>
  </si>
  <si>
    <t>0005508</t>
  </si>
  <si>
    <t>0005510</t>
  </si>
  <si>
    <t>106/2019/DOP</t>
  </si>
  <si>
    <t>Přenosné osobní pokladny</t>
  </si>
  <si>
    <t>vyhotovena PD</t>
  </si>
  <si>
    <t>Galerie Středočeského kraje, Kutná Hora</t>
  </si>
  <si>
    <t>Muzeum Českého krasu, Beroun</t>
  </si>
  <si>
    <t>041-02/2018/RK ze dne 15.1.2018  015-12/2018/ZK ze dne 29.1.2018  114-12/2018/ZK ze dne 29.1.2018</t>
  </si>
  <si>
    <t>Koupě zámku v Přerově nad Labem (splátky hodnoty nemovitosti jsou naplánovány na 5 let)</t>
  </si>
  <si>
    <t>7/2020</t>
  </si>
  <si>
    <t>České muzeum stříbra, Kutná Hora</t>
  </si>
  <si>
    <t>Výstavba nového centrálního muzejního depozitáře pro RM Kolín v Kouřimi</t>
  </si>
  <si>
    <t>0005556</t>
  </si>
  <si>
    <t>0005558</t>
  </si>
  <si>
    <t>0005560</t>
  </si>
  <si>
    <t>0005561</t>
  </si>
  <si>
    <t>0005562</t>
  </si>
  <si>
    <t>0005563</t>
  </si>
  <si>
    <t>2/2020</t>
  </si>
  <si>
    <t>0005564</t>
  </si>
  <si>
    <t>0005565</t>
  </si>
  <si>
    <t>0005566</t>
  </si>
  <si>
    <t>0005567</t>
  </si>
  <si>
    <t>5/2020</t>
  </si>
  <si>
    <t>0005569</t>
  </si>
  <si>
    <t>0005570</t>
  </si>
  <si>
    <t>0005571</t>
  </si>
  <si>
    <t>0005540</t>
  </si>
  <si>
    <t>50/2019/KUL</t>
  </si>
  <si>
    <t>Přípravné práce a převoz Thomasova konvertoru do skanzenu Mayrau</t>
  </si>
  <si>
    <t>UKONČENO</t>
  </si>
  <si>
    <t>Havarijní opravy elektroinstalace, rozvodu vody a odpadů v DOZP-studie proveditelnosti</t>
  </si>
  <si>
    <t>studie proveditelnosti hotová</t>
  </si>
  <si>
    <t>98/2019/SOC</t>
  </si>
  <si>
    <t>Pořízení EPS</t>
  </si>
  <si>
    <t>99/2019/SOC</t>
  </si>
  <si>
    <t>Hřiště pro seniory</t>
  </si>
  <si>
    <t>100/2019/SOC</t>
  </si>
  <si>
    <t>Rekonstrukce střechy - Ledce bytový dům</t>
  </si>
  <si>
    <t>101/2019/SOC</t>
  </si>
  <si>
    <t xml:space="preserve">Vybavení kuchyně konvektomat,lednice,sporák a dodávka klimatizace </t>
  </si>
  <si>
    <t>102/2019/SOC</t>
  </si>
  <si>
    <t>103/2019/SOC</t>
  </si>
  <si>
    <t>104/2019/SOC</t>
  </si>
  <si>
    <t>8/2020</t>
  </si>
  <si>
    <t>10/2020</t>
  </si>
  <si>
    <t>až budou finanční prostředky</t>
  </si>
  <si>
    <t>1/2020</t>
  </si>
  <si>
    <t>018-34/2018/RK ze dne 5.11.2018 128-16/2018/ZK ze dne 26.11.2018</t>
  </si>
  <si>
    <t>0005485</t>
  </si>
  <si>
    <t>Výměna zámků (generální klíč nahradit elektronickým systémem)</t>
  </si>
  <si>
    <t>Základní škola, Vlašim, Březinská 1702</t>
  </si>
  <si>
    <t>Integrovaná střední škola technická Mělník, příspěvková organizace</t>
  </si>
  <si>
    <t>Víceúčelová sportovní hala</t>
  </si>
  <si>
    <t>Zřízení vodorovného dopravního značení, bezpečnostní prvky</t>
  </si>
  <si>
    <t>107/2019/DOP</t>
  </si>
  <si>
    <t>Okružní křižovatka Nymburk</t>
  </si>
  <si>
    <t>Vybudování a zprovoznění paliativní péče, tzv. hospicových lůžek v nemocnici Kutná Hora</t>
  </si>
  <si>
    <t>Rekonstrukce bývalé svobodárny na Centrum pro vzdělávání a péči o zaměstnance ON Kolín, a. s.</t>
  </si>
  <si>
    <t>Kapitálové prostředky v Plánu (Zásobníku) investic 2019</t>
  </si>
  <si>
    <t xml:space="preserve"> v tis. Kč</t>
  </si>
  <si>
    <t>Zařazeno do Plánu (Zásobníku) investic usnesením RK/ZK</t>
  </si>
  <si>
    <t>V P(Z)I od roku</t>
  </si>
  <si>
    <t>odkup nové stavby silnice</t>
  </si>
  <si>
    <t>CELKEM 25 - Odbor Bezpečnostní ředitel</t>
  </si>
  <si>
    <t>CELKEM 17 - Odbor sociálních věcí</t>
  </si>
  <si>
    <t>CELKEM 10 - Odbor životního prostředí a zemědělství</t>
  </si>
  <si>
    <t>CELKEM 09 - Odbor řízení dotačních projektů</t>
  </si>
  <si>
    <t>CELKEM 08 - Odbor regionálního rozvoje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</si>
  <si>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</si>
  <si>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</si>
  <si>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</si>
  <si>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</si>
  <si>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</si>
  <si>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02 - Odbor podpory řízení krajského úřadu</t>
  </si>
  <si>
    <t>CELKEM 01 - Odbor Kancelář hejtmanky</t>
  </si>
  <si>
    <t>Kompletní rekonstrukce elektroinstalace v DS</t>
  </si>
  <si>
    <t>1/2019/OZP</t>
  </si>
  <si>
    <t>2/2019/OZP</t>
  </si>
  <si>
    <t>jiné zdroje=vlastní zdroje PO</t>
  </si>
  <si>
    <t>smlouva na PD, vyhotovuje se PD, jiné zdroje=vlastní zdroje PO</t>
  </si>
  <si>
    <t>11.3.2019 předání staveniště. Jiné zdroje=vlastní zdroje PO</t>
  </si>
  <si>
    <t>výběrové řízení na zhotovitele PD bylo přerušeno</t>
  </si>
  <si>
    <t>hotová PD</t>
  </si>
  <si>
    <t xml:space="preserve">Pozastaveno radním. </t>
  </si>
  <si>
    <t>probíhá Vř na PD,  jiné zdroje=vlastní zdroje PO (IF PO)</t>
  </si>
  <si>
    <t xml:space="preserve"> jiné zdroje=vlastní zdroje PO</t>
  </si>
  <si>
    <t>Předpoklad v roce 2021</t>
  </si>
  <si>
    <t>Předpoklad v roce 2022+</t>
  </si>
  <si>
    <t>022-14/2019/RK ze dne 15.4.2019  108-18/2019/ZK ze dne 29.4.2019</t>
  </si>
  <si>
    <t>0005444</t>
  </si>
  <si>
    <t xml:space="preserve">Přerušeno výběrové řízení </t>
  </si>
  <si>
    <t>4/2020</t>
  </si>
  <si>
    <t>Vyhlášeno 5. výběrové řízení</t>
  </si>
  <si>
    <t>105/2019/SOC</t>
  </si>
  <si>
    <t>Profesionální pračka prádla 13 kg</t>
  </si>
  <si>
    <t>106/2019/SOC</t>
  </si>
  <si>
    <t>Profesionální pračka prádla 24 kg + sušicka</t>
  </si>
  <si>
    <t>107/2019/SOC</t>
  </si>
  <si>
    <t>Rekonstrukce podlah v celém objektu</t>
  </si>
  <si>
    <t>108/2019/SOC</t>
  </si>
  <si>
    <t>Rekonstrukce 6 pokojů ve 2. patře staré budovy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</si>
  <si>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</si>
  <si>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</si>
  <si>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</si>
  <si>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</si>
  <si>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</si>
  <si>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</si>
  <si>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Luxur Poděbrady</t>
  </si>
  <si>
    <t>Rekonstrukce zařízení sestra pacient</t>
  </si>
  <si>
    <t>113/2019/SOC</t>
  </si>
  <si>
    <t>Rekonstrukce pokojů III. odd. - 21 pokojů</t>
  </si>
  <si>
    <t>114/2019/SOC</t>
  </si>
  <si>
    <t>Rekonstrukce elektroinstalace tech. zázemí domova</t>
  </si>
  <si>
    <t>115/2019/SOC</t>
  </si>
  <si>
    <t>Rekonstrukce vodoinstalace tech. zázemí domova</t>
  </si>
  <si>
    <t>116/2019/SOC</t>
  </si>
  <si>
    <t>Domov seniorů Vojkov</t>
  </si>
  <si>
    <t>Nákup a rekonstrukce budovy  41</t>
  </si>
  <si>
    <t>117/2019/SOC</t>
  </si>
  <si>
    <t>Nákup plynového kotle</t>
  </si>
  <si>
    <t>118/2019/SOC</t>
  </si>
  <si>
    <t xml:space="preserve">Výměna kabiny lůžkového výtahu budova č. 6 </t>
  </si>
  <si>
    <t>119/2019/SOC</t>
  </si>
  <si>
    <t>120/2019/SOC</t>
  </si>
  <si>
    <t>Rekonstrukce topného systému</t>
  </si>
  <si>
    <t>10/2019/OŘÚ</t>
  </si>
  <si>
    <t>Pořízení osobního vozidla</t>
  </si>
  <si>
    <t>0005577</t>
  </si>
  <si>
    <t>Bellevue Ledce</t>
  </si>
  <si>
    <t>Domov Na Hrádku, Červený Hrádek</t>
  </si>
  <si>
    <t>Rybka Neratovice</t>
  </si>
  <si>
    <t>Domov Buda, Zásmuky</t>
  </si>
  <si>
    <t>Domov Barbora, Kutná Hora</t>
  </si>
  <si>
    <t>Domov Pod Kavčí Skálou, Říčany u Prahy</t>
  </si>
  <si>
    <t>Vyšší Hrádek, Brandýs n.L.</t>
  </si>
  <si>
    <t>Domov seniorů TGM, Beroun</t>
  </si>
  <si>
    <t>Domov Na Zátiší, Rakovník</t>
  </si>
  <si>
    <t>Domov Laguna, Psáry</t>
  </si>
  <si>
    <t>Domov Pod Lipami, Smečno</t>
  </si>
  <si>
    <t>Domov pod lípou, Lipník</t>
  </si>
  <si>
    <t>Domov Domino, Zavidov</t>
  </si>
  <si>
    <t>Domov V Zahradách, Zdice</t>
  </si>
  <si>
    <t>Domov Na Zámku, Lysá</t>
  </si>
  <si>
    <t>vyhotovena PD - aktualizace PD</t>
  </si>
  <si>
    <t>0005640</t>
  </si>
  <si>
    <t>51/2019/KUL</t>
  </si>
  <si>
    <t>Výklenková kaplička se sousoším sv. Jana Nepomuckého z Tismic</t>
  </si>
  <si>
    <t>akce nově zařazená</t>
  </si>
  <si>
    <t>stavebně realizováno, doplatek akce</t>
  </si>
  <si>
    <t>stavební realizace</t>
  </si>
  <si>
    <t>3/2020</t>
  </si>
  <si>
    <t>pozastaveno</t>
  </si>
  <si>
    <t>Vybraný účastník byl vyzván k podpisu smlouvy, pozastaveno</t>
  </si>
  <si>
    <t>1/2021</t>
  </si>
  <si>
    <t>1/2022</t>
  </si>
  <si>
    <t>0003960</t>
  </si>
  <si>
    <t>hotová PD - škola si zaplatila z vlastních zdrojů</t>
  </si>
  <si>
    <t>0005621</t>
  </si>
  <si>
    <t>0005622</t>
  </si>
  <si>
    <t>0005641</t>
  </si>
  <si>
    <t>5/2022</t>
  </si>
  <si>
    <t>3/2021</t>
  </si>
  <si>
    <t>Rekonstrukce a modernizace COS</t>
  </si>
  <si>
    <t>135/2019/ZDR</t>
  </si>
  <si>
    <t>136/2019/ZDR</t>
  </si>
  <si>
    <t>Změna užívání části objektu C1A - DIOP a NIP</t>
  </si>
  <si>
    <t xml:space="preserve">Rekonstrukce 4. a 5. NP v objektu gynekologie </t>
  </si>
  <si>
    <t>Schválený rozpočet 2019 (usn. č. 009-16/2018/ZK ze dne 26.11.2018)</t>
  </si>
  <si>
    <t>studie k soutěži na PD hotová</t>
  </si>
  <si>
    <t>Rozdělení zůstatku hospodaření z roku 2018 (usn. č. 009-18/2019/ZK ze dne 29.4.2019)</t>
  </si>
  <si>
    <t>Převod finančních prostředků z kapitoly 04 - Doprava (usn. č. 012-15/2019/RK ze dne 25.4.2019)</t>
  </si>
  <si>
    <t>044-36/2017/RK ze dne 12.10.2017  009-10/2017/ZK ze dne 24.10.2017</t>
  </si>
  <si>
    <t>040-23/2017/RK ze dne 15.6.2017   038-07/2017/ZK ze dne 27.6.2017</t>
  </si>
  <si>
    <t>018-04/2017/ZK ze dne 7. 3. 2017  040-23/2017/RK ze dne 15.6.2017 038-07/2017/ZK ze dne 27.6.2017</t>
  </si>
  <si>
    <t>051-39/2017/RK ze dne 13.11.2017 028-11/2017/ZK ze dne 5.12.2017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</si>
  <si>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</si>
  <si>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</si>
  <si>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</si>
  <si>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005-12/2010/RK ze dne 29.03.2010  065-10/2010/ZK ze dne 12.04.2010</t>
  </si>
  <si>
    <t>060-26/2017/RK ze dne 20.7.2017  044-36/2017/RK ze dne 12.10.2017  009-10/2017/ZK ze dne 24.10.2017</t>
  </si>
  <si>
    <t>007-09/2017/RK ze dne 9.3.2017  040-23/2017/RK ze dne 15.6.2017   038-07/2017/ZK ze dne 27.6.2017</t>
  </si>
  <si>
    <t>036-23/2011/RK ze dne 30.05.2011            043-16/2011/ZK ze dne  06.06.2011</t>
  </si>
  <si>
    <t>041-02/2018/RK ze dne 15.1.2018  015-12/2018/ZK ze dne 29.1.2018</t>
  </si>
  <si>
    <t>071-29/2016/RK ze dne 29.8.2016       012-24/2016/ZK ze dne 19.9.2016</t>
  </si>
  <si>
    <t>026-13/2016/RK ze dne 4.4.2016    012-22/2016/ZK ze dne 25.4.2016</t>
  </si>
  <si>
    <t>018-14/2017/RK ze dne 13.4.2017 028-06/2017/ZK ze dne 25.4.2017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</si>
  <si>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</si>
  <si>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</si>
  <si>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</si>
  <si>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</si>
  <si>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068-39/2015/RK ze dne 9.11.2015        006-20/2015/ZK ze dne 7.12.2015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</si>
  <si>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</si>
  <si>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</si>
  <si>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</si>
  <si>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číselné hodnoty finančních prostředků jsou ukládány s přesností na haléře, pro přehlednost jsou zobrazovány zaokrouhleně na celé tis. Kč.</t>
  </si>
  <si>
    <t>Gymnázium J. S. Machara, Brandýs nad Labem - Stará Boleslav</t>
  </si>
  <si>
    <t>Školní statek Středočeského kraje, Mělník</t>
  </si>
  <si>
    <t>vlastní prostředky PO, a.s.</t>
  </si>
  <si>
    <t>prostředky rozpočtu SK kromě kap. 12</t>
  </si>
  <si>
    <t xml:space="preserve">016-06/2017/RK ze dne 16.2.2017   022-04/2017/ZK ze dne 7.3.2017     </t>
  </si>
  <si>
    <t>Hotová projektová dokumentace</t>
  </si>
  <si>
    <t>126/2019/SKOL</t>
  </si>
  <si>
    <t>1/2019/SKOL</t>
  </si>
  <si>
    <t>2/2019/SKOL</t>
  </si>
  <si>
    <t>3/2019/SKOL</t>
  </si>
  <si>
    <t>4/2019/SKOL</t>
  </si>
  <si>
    <t>5/2019/SKOL</t>
  </si>
  <si>
    <t>6/2019/SKOL</t>
  </si>
  <si>
    <t>7/2019/SKOL</t>
  </si>
  <si>
    <t>8/2019/SKOL</t>
  </si>
  <si>
    <t>10/2019/SKOL</t>
  </si>
  <si>
    <t>11/2019/SKOL</t>
  </si>
  <si>
    <t>12/2019/SKOL</t>
  </si>
  <si>
    <t>13/2019/SKOL</t>
  </si>
  <si>
    <t>14/2019/SKOL</t>
  </si>
  <si>
    <t>17/2019/SKOL</t>
  </si>
  <si>
    <t>18/2019/SKOL</t>
  </si>
  <si>
    <t>19/2019/SKOL</t>
  </si>
  <si>
    <t>20/2019/SKOL</t>
  </si>
  <si>
    <t>21/2019/SKOL</t>
  </si>
  <si>
    <t>22/2019/SKOL</t>
  </si>
  <si>
    <t>23/2019/SKOL</t>
  </si>
  <si>
    <t>25/2019/SKOL</t>
  </si>
  <si>
    <t>26/2019/SKOL</t>
  </si>
  <si>
    <t>27/2019/SKOL</t>
  </si>
  <si>
    <t>31/2019/SKOL</t>
  </si>
  <si>
    <t>33/2019/SKOL</t>
  </si>
  <si>
    <t>34/2019/SKOL</t>
  </si>
  <si>
    <t>37/2019/SKOL</t>
  </si>
  <si>
    <t>38/2019/SKOL</t>
  </si>
  <si>
    <t>39/2019/SKOL</t>
  </si>
  <si>
    <t>41/2019/SKOL</t>
  </si>
  <si>
    <t>42/2019/SKOL</t>
  </si>
  <si>
    <t>43/2019/SKOL</t>
  </si>
  <si>
    <t>45/2019/SKOL</t>
  </si>
  <si>
    <t>49/2019/SKOL</t>
  </si>
  <si>
    <t>50/2019/SKOL</t>
  </si>
  <si>
    <t>51/2019/SKOL</t>
  </si>
  <si>
    <t>52/2019/SKOL</t>
  </si>
  <si>
    <t>53/2019/SKOL</t>
  </si>
  <si>
    <t>54/2019/SKOL</t>
  </si>
  <si>
    <t>55/2019/SKOL</t>
  </si>
  <si>
    <t>56/2019/SKOL</t>
  </si>
  <si>
    <t>58/2019/SKOL</t>
  </si>
  <si>
    <t>57/2019/SKOL</t>
  </si>
  <si>
    <t>60/2019/SKOL</t>
  </si>
  <si>
    <t>61/2019/SKOL</t>
  </si>
  <si>
    <t>62/2019/SKOL</t>
  </si>
  <si>
    <t>64/2019/SKOL</t>
  </si>
  <si>
    <t>66/2019/SKOL</t>
  </si>
  <si>
    <t>67/2019/SKOL</t>
  </si>
  <si>
    <t>68/2019/SKOL</t>
  </si>
  <si>
    <t>69/2019/SKOL</t>
  </si>
  <si>
    <t>70/2019/SKOL</t>
  </si>
  <si>
    <t>71/2019/SKOL</t>
  </si>
  <si>
    <t>72/2019/SKOL</t>
  </si>
  <si>
    <t>73/2019/SKOL</t>
  </si>
  <si>
    <t>74/2019/SKOL</t>
  </si>
  <si>
    <t>75/2019/SKOL</t>
  </si>
  <si>
    <t>77/2019/SKOL</t>
  </si>
  <si>
    <t>78/2019/SKOL</t>
  </si>
  <si>
    <t>79/2019/SKOL</t>
  </si>
  <si>
    <t>80/2019/SKOL</t>
  </si>
  <si>
    <t>81/2019/SKOL</t>
  </si>
  <si>
    <t>82/2019/SKOL</t>
  </si>
  <si>
    <t>83/2019/SKOL</t>
  </si>
  <si>
    <t>84/2019/SKOL</t>
  </si>
  <si>
    <t>85/2019/SKOL</t>
  </si>
  <si>
    <t>86/2019/SKOL</t>
  </si>
  <si>
    <t>87/2019/SKOL</t>
  </si>
  <si>
    <t>88/2019/SKOL</t>
  </si>
  <si>
    <t>89/2019/SKOL</t>
  </si>
  <si>
    <t>91/2019/SKOL</t>
  </si>
  <si>
    <t>92/2019/SKOL</t>
  </si>
  <si>
    <t>93/2019/SKOL</t>
  </si>
  <si>
    <t>94/2019/SKOL</t>
  </si>
  <si>
    <t>96/2019/SKOL</t>
  </si>
  <si>
    <t>97/2019/SKOL</t>
  </si>
  <si>
    <t>98/2019/SKOL</t>
  </si>
  <si>
    <t>99/2019/SKOL</t>
  </si>
  <si>
    <t>100/2019/SKOL</t>
  </si>
  <si>
    <t>101/2019/SKOL</t>
  </si>
  <si>
    <t>102/2019/SKOL</t>
  </si>
  <si>
    <t>103/2019/SKOL</t>
  </si>
  <si>
    <t>104/2019/SKOL</t>
  </si>
  <si>
    <t>105/2019/SKOL</t>
  </si>
  <si>
    <t>106/2019/SKOL</t>
  </si>
  <si>
    <t>107/2019/SKOL</t>
  </si>
  <si>
    <t>108/2019/SKOL</t>
  </si>
  <si>
    <t>110/2019/SKOL</t>
  </si>
  <si>
    <t>112/2019/SKOL</t>
  </si>
  <si>
    <t>113/2019/SKOL</t>
  </si>
  <si>
    <t>114/2019/SKOL</t>
  </si>
  <si>
    <t>115/2019/SKOL</t>
  </si>
  <si>
    <t>116/2019/SKOL</t>
  </si>
  <si>
    <t>117/2019/SKOL</t>
  </si>
  <si>
    <t>118/2019/SKOL</t>
  </si>
  <si>
    <t>119/2019/SKOL</t>
  </si>
  <si>
    <t>120/2019/SKOL</t>
  </si>
  <si>
    <t>121/2019/SKOL</t>
  </si>
  <si>
    <t>122/2019/SKOL</t>
  </si>
  <si>
    <t>123/2019/SKOL</t>
  </si>
  <si>
    <t>124/2019/SKOL</t>
  </si>
  <si>
    <t>0005611</t>
  </si>
  <si>
    <t>0005653</t>
  </si>
  <si>
    <t>Polabské muzeum, Přerov n.L.</t>
  </si>
  <si>
    <t>0005662</t>
  </si>
  <si>
    <t>0005336</t>
  </si>
  <si>
    <t xml:space="preserve"> Jiné zdroje=PzP z kap. 05    smlouva na PD</t>
  </si>
  <si>
    <t>127/2019/SKOL</t>
  </si>
  <si>
    <t>Gymnázium Dr. Josefa Pekaře, Mladá Boleslav, Palackého 211</t>
  </si>
  <si>
    <t>Dokončení sanace suterénu</t>
  </si>
  <si>
    <t>je připravena dokumentace (z roku 2018)</t>
  </si>
  <si>
    <t>128/2019/SKOL</t>
  </si>
  <si>
    <t>Střední průmyslová škola, Mladá Boleslav, Havlíčkova 456</t>
  </si>
  <si>
    <t>Socha arch. Krohy</t>
  </si>
  <si>
    <t>129/2019/SKOL</t>
  </si>
  <si>
    <t>Základní škola a Praktická škola Jesenice, příspěvková organizace</t>
  </si>
  <si>
    <t>Svozový automobil</t>
  </si>
  <si>
    <t>130/2019/SKOL</t>
  </si>
  <si>
    <t>Integrovaná střední škola Rakovník, příspěvková organizace</t>
  </si>
  <si>
    <t>Koupě pozemku</t>
  </si>
  <si>
    <t>131/2019/SKOL</t>
  </si>
  <si>
    <t>Osobní automobil</t>
  </si>
  <si>
    <t>Nákup automobilu</t>
  </si>
  <si>
    <t>Vyšší odborná škola, Střední průmyslová škola a Obchodní akademie, Čáslav, Přemysla Otakara II. 938</t>
  </si>
  <si>
    <t>Rekonstrukce vzduchotechniky - kuchyň</t>
  </si>
  <si>
    <t>025-19/2019/RK ze dne 3.6.2019  095-19/2019/ZK ze dne 24.6.2019</t>
  </si>
  <si>
    <t>ANO
NE</t>
  </si>
  <si>
    <t>Realizace</t>
  </si>
  <si>
    <t>NE
ANO
NE</t>
  </si>
  <si>
    <t>zhotovena PD</t>
  </si>
  <si>
    <t>Automobily dodány</t>
  </si>
  <si>
    <t>Vybudování výtahu budova č. 1 a č. 2</t>
  </si>
  <si>
    <t xml:space="preserve">hotová PD, zbytek financován z jiných zdrojů=kap. 05  (příjmy z pronájmů)- tím ukončeny nároky na financování z Kap.12.  Změna způsobu financování, snížení CN. </t>
  </si>
  <si>
    <t>předáno z odboru kultury, jiné zdroje-investiční dotace města MB</t>
  </si>
  <si>
    <t>0005541</t>
  </si>
  <si>
    <t>52/2019/KUL</t>
  </si>
  <si>
    <t>Prototyp parkovacího modulu pro cyklisty</t>
  </si>
  <si>
    <t>53/2019/KUL</t>
  </si>
  <si>
    <t>Vybavení depozitních prostor Polabského muzea úložnými systémy</t>
  </si>
  <si>
    <t>54/2019/KUL</t>
  </si>
  <si>
    <t>Středočeská vědecká knihovna v Kladně</t>
  </si>
  <si>
    <t>Žaluzie na elektrické dálkové ovládání - zatemnění studovny a nákup tiskárny A3+</t>
  </si>
  <si>
    <t>55/2019/KUL</t>
  </si>
  <si>
    <t>Modely a raznice pamětních mincí</t>
  </si>
  <si>
    <t>56/2019/KUL</t>
  </si>
  <si>
    <t>Pořízení nové schodišťové plošiny pro vozíčkáře do budovy muzea v Huťské 1375, Kladno</t>
  </si>
  <si>
    <t>57/2019/KUL</t>
  </si>
  <si>
    <t>Rekonstrukce objektu konírny</t>
  </si>
  <si>
    <t>58/2019/KUL</t>
  </si>
  <si>
    <t>Rekonstrukce bytu Polabského muzea</t>
  </si>
  <si>
    <t>11/2020</t>
  </si>
  <si>
    <t xml:space="preserve">Místa pro kontrolu nákladních vozidel </t>
  </si>
  <si>
    <t>III/24420 Nedomice, rekonstrukce</t>
  </si>
  <si>
    <t>III/23644 a III/10142 Slaný, Žižice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</si>
  <si>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</si>
  <si>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</si>
  <si>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Roždalovice MK ul. Spojovací budoucí III/27523</t>
  </si>
  <si>
    <t>OK silnic III/10114 a III/0315</t>
  </si>
  <si>
    <t>Pyšely - III/0311 a III/0312, rekonstrukce silnic</t>
  </si>
  <si>
    <t>Opěrná zeď silnic III/11619 Karštejn</t>
  </si>
  <si>
    <t xml:space="preserve">Benešov, dopravní opatření </t>
  </si>
  <si>
    <t>Most ev.č.33355-1 přes Hořanský potok v obci Libenice</t>
  </si>
  <si>
    <t>113-013 Most přes strouhu v obci Třemošnice</t>
  </si>
  <si>
    <t>23933-4 Hobšovice</t>
  </si>
  <si>
    <t>Most III/25915 Bezděz, rekonstrukce mostu 25915-1</t>
  </si>
  <si>
    <t>III/3272 Hlízov</t>
  </si>
  <si>
    <t>III/3287 Velký Osek</t>
  </si>
  <si>
    <t>III/3275 Starý Kolín</t>
  </si>
  <si>
    <t>III/33012 Písty</t>
  </si>
  <si>
    <t>III/1256 Vlašim - Veliš</t>
  </si>
  <si>
    <t>59/2019/KUL</t>
  </si>
  <si>
    <t>Nákup pódia</t>
  </si>
  <si>
    <t>60/2019KUL</t>
  </si>
  <si>
    <t>Vstup do areálu v Libčicích a oplocení</t>
  </si>
  <si>
    <t>61/2019KUL</t>
  </si>
  <si>
    <t>Nový kotel a bojler v areálu Libčice</t>
  </si>
  <si>
    <t>62/2019KUL</t>
  </si>
  <si>
    <t>Rekonstrukce střechy a souvisejících interiérových podhledů - Sedlec</t>
  </si>
  <si>
    <t>132/2019/SKOL</t>
  </si>
  <si>
    <t>133/2019/SKOL</t>
  </si>
  <si>
    <t>134/2019/SKOL</t>
  </si>
  <si>
    <t>121/2019/SOC</t>
  </si>
  <si>
    <t>Rekonstrukce šaten pro zaměstnance</t>
  </si>
  <si>
    <t>109/2019/DOP</t>
  </si>
  <si>
    <t>110/2019/DOP</t>
  </si>
  <si>
    <t>111/2019/DOP</t>
  </si>
  <si>
    <t>112/2019/DOP</t>
  </si>
  <si>
    <t>113/2019/DOP</t>
  </si>
  <si>
    <t>114/2019/DOP</t>
  </si>
  <si>
    <t>115/2019/DOP</t>
  </si>
  <si>
    <t>116/2019/DOP</t>
  </si>
  <si>
    <t>117/2019/DOP</t>
  </si>
  <si>
    <t>118/2019/DOP</t>
  </si>
  <si>
    <t>119/2019/DOP</t>
  </si>
  <si>
    <t>120/2019/DOP</t>
  </si>
  <si>
    <t>121/2019/DOP</t>
  </si>
  <si>
    <t>122/2019/DOP</t>
  </si>
  <si>
    <t>123/2019/DOP</t>
  </si>
  <si>
    <t>124/2019/DOP</t>
  </si>
  <si>
    <t>125/2019/DOP</t>
  </si>
  <si>
    <t>126/2019/DOP</t>
  </si>
  <si>
    <t>127/2019/DOP</t>
  </si>
  <si>
    <t>Zásobník (Plán) investic Středočeského kraje na rok 2019 - změna č. 5</t>
  </si>
  <si>
    <t>Změna č. 5</t>
  </si>
  <si>
    <t>Kapitálové prostředky  (před změnou č. 5)</t>
  </si>
  <si>
    <t>Kapitálové prostředky  (po změně č. 5)</t>
  </si>
  <si>
    <t>048-24/2019/RK ze dne  29.7.2019     /2019/ZK ze dne 26.8.2019</t>
  </si>
  <si>
    <t>hotová PD, nebylo vyhlášeno VŘ</t>
  </si>
  <si>
    <t xml:space="preserve"> vyhotovena studie</t>
  </si>
  <si>
    <t>0005734</t>
  </si>
  <si>
    <t>1.Q          (1.1.-31.3.)</t>
  </si>
  <si>
    <t>2.Q         (1.4.-30.6.)</t>
  </si>
  <si>
    <t>celý rok</t>
  </si>
  <si>
    <t>0005743</t>
  </si>
  <si>
    <r>
      <t xml:space="preserve">CELKEM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včetně odloženého financování</t>
    </r>
  </si>
  <si>
    <t xml:space="preserve">CELKEM </t>
  </si>
  <si>
    <t>11/2019/OŘÚ</t>
  </si>
  <si>
    <t>12/2019/OŘÚ</t>
  </si>
  <si>
    <t>128/2019/DOP</t>
  </si>
  <si>
    <t>III/1057 komunikace na hrázi Dunávického rybníka</t>
  </si>
  <si>
    <t>129/2019/DOP</t>
  </si>
  <si>
    <t>Letiště Benešov – zpevnění RWY a SZZ</t>
  </si>
  <si>
    <t>130/2019/DOP</t>
  </si>
  <si>
    <t>II/113 opěrná zed obci Bílkovice u mostu ev. Č. 113=014</t>
  </si>
  <si>
    <t>131/2019/DOP</t>
  </si>
  <si>
    <t>II/113 Český Brod, ul. Jana Kouly</t>
  </si>
  <si>
    <t>132/2019/DOP</t>
  </si>
  <si>
    <t>III/33723 Drobovice - Tupadly</t>
  </si>
  <si>
    <t>133/2019/DOP</t>
  </si>
  <si>
    <t>III/3315 Lysá nad Labem</t>
  </si>
  <si>
    <t>134/2019/DOP</t>
  </si>
  <si>
    <t>III/10169 Hradešín</t>
  </si>
  <si>
    <t>135/2019/DOP</t>
  </si>
  <si>
    <t>III/12536 Červený Hrádek - Solopysky</t>
  </si>
  <si>
    <t>136/2019/DOP</t>
  </si>
  <si>
    <t>III/33429 Mělník</t>
  </si>
  <si>
    <t>137/2019/DOP</t>
  </si>
  <si>
    <t>II/115 Osov - Hostomice</t>
  </si>
  <si>
    <t>138/2019/DOP</t>
  </si>
  <si>
    <t>III/11539, 11540 Tmaň, křižovatka pod kostelem</t>
  </si>
  <si>
    <t>139/2019/DOP</t>
  </si>
  <si>
    <t>III/1011 Vojkov-Strašín</t>
  </si>
  <si>
    <t>140/2019/DOP</t>
  </si>
  <si>
    <t>III/33915 Bohdaneč - Ostrov</t>
  </si>
  <si>
    <t>141/2019/DOP</t>
  </si>
  <si>
    <t>III/32825 Kamilov</t>
  </si>
  <si>
    <t>142/2019/DOP</t>
  </si>
  <si>
    <t>Předměřice n.Jizerou odvodnění silnice III/3314-směr Stará Lysá</t>
  </si>
  <si>
    <t>143/2019/DOP</t>
  </si>
  <si>
    <t>II/126 Kutná Hora, Hrnčířská, odvodnění silnice</t>
  </si>
  <si>
    <t>144/2019/DOP</t>
  </si>
  <si>
    <t>III/0092 Líbeznice - Měšice</t>
  </si>
  <si>
    <t>145/2019/DOP</t>
  </si>
  <si>
    <t>III/12541 Chocenice -. Křečhoř</t>
  </si>
  <si>
    <t>146/2019/DOP</t>
  </si>
  <si>
    <t xml:space="preserve">III/1917 Nesvačily - Strýčkovy </t>
  </si>
  <si>
    <t>147/2019/DOP</t>
  </si>
  <si>
    <t>III/2751 Nemyslovice - Velké Vševily</t>
  </si>
  <si>
    <t>148/2019/DOP</t>
  </si>
  <si>
    <t>III/12511 Vlašim</t>
  </si>
  <si>
    <t>149/2019/DOP</t>
  </si>
  <si>
    <t>Propustek Černé Voděrady III/11320 km 5,520</t>
  </si>
  <si>
    <t>150/2019/DOP</t>
  </si>
  <si>
    <t>II/244 Měšice, rekonstrukce mostu ev.č. 244-001, demolice mostu</t>
  </si>
  <si>
    <t>151/2019/DOP</t>
  </si>
  <si>
    <t>Propustky Hradec III/1083 km 1,900, km 1,800 a km 3,200</t>
  </si>
  <si>
    <t>152/2019/DOP</t>
  </si>
  <si>
    <t xml:space="preserve">Most ev.č 245-008 přes suchou strouhu v obci Mochov, most ev.č. 279-017 přes potok před obcí Skyšice </t>
  </si>
  <si>
    <t>153/2019/DOP</t>
  </si>
  <si>
    <t>Propustek Červené Janovice III/0172 km 0,715</t>
  </si>
  <si>
    <t>154/2019/DOP</t>
  </si>
  <si>
    <t>III/12537 Červený Hrádek, most ev.č. 12537-1</t>
  </si>
  <si>
    <t>155/2019/DOP</t>
  </si>
  <si>
    <t xml:space="preserve">Most ev. č. 27510-4 přes potok před obcí Charvátce, most ev.č. 27515-2 přes potok v obci Pěčice </t>
  </si>
  <si>
    <t>156/2019/DOP</t>
  </si>
  <si>
    <t xml:space="preserve">II/611, most ev.č.611-005 přes potok Výmola za obcí Mochov </t>
  </si>
  <si>
    <t>157/2019/DOP</t>
  </si>
  <si>
    <t>Propustek Bělušice III/3279 km 5,321, Propustek Sokoleč III/3297 km 3,000</t>
  </si>
  <si>
    <t>158/2019/DOP</t>
  </si>
  <si>
    <t>159/2019/DOP</t>
  </si>
  <si>
    <t>II/268 Klášter Hradiště n. Jiz., most ev.č. 268-007</t>
  </si>
  <si>
    <t>160/2019/DOP</t>
  </si>
  <si>
    <t>II/244 Kostelec nad Labem, most ev.č. 244-007 přes Labe za Kostelcem nad Labem</t>
  </si>
  <si>
    <t>161/2019/DOP</t>
  </si>
  <si>
    <t>II/114, most ev. č. 114 - 011 přes potok za obcí Radouš</t>
  </si>
  <si>
    <t>162/2019/DOP</t>
  </si>
  <si>
    <t>III/24032 Budihostice, most ev.č.24032-2 přes Vranský potok</t>
  </si>
  <si>
    <t>163/2019/DOP</t>
  </si>
  <si>
    <t>II/114, most ev. č. 114 - 013 přes potok za obcí Bezdětice</t>
  </si>
  <si>
    <t>164/2019/DOP</t>
  </si>
  <si>
    <t>III/3396 Bohdaneč, most ev.č. 3396-1</t>
  </si>
  <si>
    <t>165/2019/DOP</t>
  </si>
  <si>
    <t>Most ev.č. 11320-4 Penčice</t>
  </si>
  <si>
    <t>166/2019/DOP</t>
  </si>
  <si>
    <t>III/11626, most ev. č. ZY 11626 - 1 osazení Mostního provizoria Mníšek Pod Brdy</t>
  </si>
  <si>
    <t>167/2019/DOP</t>
  </si>
  <si>
    <t>III/24026 Luníkov, most ev.č. 24026-1 přes Červený potok</t>
  </si>
  <si>
    <t>168/2019/DOP</t>
  </si>
  <si>
    <t>II/339 Bohdaneč,most ev.č.339-007 a propustek</t>
  </si>
  <si>
    <t>169/2019/DOP</t>
  </si>
  <si>
    <t xml:space="preserve">III/12556 Dobešovice, most ev.č. 12556-2 </t>
  </si>
  <si>
    <t>170/2019/DOP</t>
  </si>
  <si>
    <t>II/118 Železná</t>
  </si>
  <si>
    <t>171/2019/DOP</t>
  </si>
  <si>
    <t>III/10124 Nučice</t>
  </si>
  <si>
    <t>172/2019/DOP</t>
  </si>
  <si>
    <t>III/2411 Unětice</t>
  </si>
  <si>
    <t>173/2019/DOP</t>
  </si>
  <si>
    <t>III/10122 Mořina</t>
  </si>
  <si>
    <t>174/2019/DOP</t>
  </si>
  <si>
    <t>IIII/11715 Chaloupky - Neřešín</t>
  </si>
  <si>
    <t>175/2019/DOP</t>
  </si>
  <si>
    <t>III/2684 Suhrovice</t>
  </si>
  <si>
    <t>176/2019/DOP</t>
  </si>
  <si>
    <t>III/27611 Horka u Bakova nad Jizerou</t>
  </si>
  <si>
    <t>177/2019/DOP</t>
  </si>
  <si>
    <t>III/27223, III/27225A Strenice</t>
  </si>
  <si>
    <t>178/2019/DOP</t>
  </si>
  <si>
    <t>III/26820 Dolní Bukovina</t>
  </si>
  <si>
    <t>179/2019/DOP</t>
  </si>
  <si>
    <t>III/26817, III/26819 Jivina</t>
  </si>
  <si>
    <t>180/2019/DOP</t>
  </si>
  <si>
    <t>II/244 Čečelice</t>
  </si>
  <si>
    <t>181/2019/DOP</t>
  </si>
  <si>
    <t>III/2763 Ptýrovec</t>
  </si>
  <si>
    <t>182/2019/DOP</t>
  </si>
  <si>
    <t>III/33313, III/0126a, III/01211, III/10173, III/0128, III/0127 Šibřina, Stupice</t>
  </si>
  <si>
    <t>183/2019/DOP</t>
  </si>
  <si>
    <t>III/33316 Vyžlovka</t>
  </si>
  <si>
    <t>184/2019/DOP</t>
  </si>
  <si>
    <t>III/00326 Křížkový Újezdec, Čenětice</t>
  </si>
  <si>
    <t>185/2019/DOP</t>
  </si>
  <si>
    <t>II/508, III/11319 Mnichovice, Myšlín</t>
  </si>
  <si>
    <t>186/2019/DOP</t>
  </si>
  <si>
    <t>III/1138, III/1139 Vrátkov</t>
  </si>
  <si>
    <t>187/2019/DOP</t>
  </si>
  <si>
    <t>III/10812 Kšely</t>
  </si>
  <si>
    <t>188/2019/DOP</t>
  </si>
  <si>
    <t>III/33725 Vrdy</t>
  </si>
  <si>
    <t>189/2019/DOP</t>
  </si>
  <si>
    <t>II/334, III/3341, III/3305 Klučov, Skramníky, Žhery</t>
  </si>
  <si>
    <t>190/2019/DOP</t>
  </si>
  <si>
    <t>III/3305a, III/3308 Poříčany</t>
  </si>
  <si>
    <t>191/2019/DOP</t>
  </si>
  <si>
    <t>III/3241 Velenice</t>
  </si>
  <si>
    <t>192/2019/DOP</t>
  </si>
  <si>
    <t>III/11444, III/11447, III/11451 Maršovice</t>
  </si>
  <si>
    <t>193/2019/DOP</t>
  </si>
  <si>
    <t>III/11417 Občov</t>
  </si>
  <si>
    <t>194/2019/DOP</t>
  </si>
  <si>
    <t>III/1056, III/1057, III/1059, III/10510, III/1065</t>
  </si>
  <si>
    <t>195/2019/DOP</t>
  </si>
  <si>
    <t>III/10226 Svaté Pole</t>
  </si>
  <si>
    <t>196/2019/DOP</t>
  </si>
  <si>
    <t>Dopravní opatření na křižovatce II/114 a III/11628 v Dobříši</t>
  </si>
  <si>
    <t>197/2019/DOP</t>
  </si>
  <si>
    <t>III/24021 Nelahozeves svodidlo</t>
  </si>
  <si>
    <t>198/2019/DOP</t>
  </si>
  <si>
    <t xml:space="preserve">BESIP svodidla obl. Benešov 2019 </t>
  </si>
  <si>
    <t>199/2019/DOP</t>
  </si>
  <si>
    <t>III/22916,III/22917a III/22917n Krupá</t>
  </si>
  <si>
    <t>200/2019/DOP</t>
  </si>
  <si>
    <t>III/22940 Pochvalov</t>
  </si>
  <si>
    <t>201/2019/DOP</t>
  </si>
  <si>
    <t>III/11517,III/11519 Zadní Třebáň</t>
  </si>
  <si>
    <t>akce zrušena (pův. 30 mil. Kč v r. 2020 a 2021)</t>
  </si>
  <si>
    <t>zakázka realizována v roce 2019 místo v roce 2020 - změna financování</t>
  </si>
  <si>
    <t>02/2020</t>
  </si>
  <si>
    <t>12/2021</t>
  </si>
  <si>
    <t>Probíhá příprava zakázky na modernizaci počítačové učebny, v plánu je modernizace zasedací místnosti rady.</t>
  </si>
  <si>
    <t>09/2019</t>
  </si>
  <si>
    <t>18/2019/INF</t>
  </si>
  <si>
    <t>Nákup výpočetní techniky pro nové zastupitele</t>
  </si>
  <si>
    <t>Nákup notebooků pro nové zastupitele</t>
  </si>
  <si>
    <t>19/2019/INF</t>
  </si>
  <si>
    <t>Nový intranet krajského úřadu</t>
  </si>
  <si>
    <t>Vytvoření nového intranetu Krajského úřadu Středočeského kraje</t>
  </si>
  <si>
    <t>03/2020</t>
  </si>
  <si>
    <t>navýšení celkových nákladů na akci o 6 868 436 Kč na rok 2020</t>
  </si>
  <si>
    <t>92019</t>
  </si>
  <si>
    <t>0005865</t>
  </si>
  <si>
    <t>0005866</t>
  </si>
  <si>
    <t>0005867</t>
  </si>
  <si>
    <t>0005868</t>
  </si>
  <si>
    <t>0005869</t>
  </si>
  <si>
    <t>0005870</t>
  </si>
  <si>
    <t>0005876</t>
  </si>
  <si>
    <t>0005871</t>
  </si>
  <si>
    <t>0005872</t>
  </si>
  <si>
    <t>0005873</t>
  </si>
  <si>
    <t>0005874</t>
  </si>
  <si>
    <t>0005875</t>
  </si>
  <si>
    <t>63/2019/KUL</t>
  </si>
  <si>
    <t>64/2019/KUL</t>
  </si>
  <si>
    <t>Ústav archeologické památkové péče středních Čech</t>
  </si>
  <si>
    <t>Depozitář Kounice – posuvné regály</t>
  </si>
  <si>
    <t>65/2019/KUL</t>
  </si>
  <si>
    <t>Hornicko-hutnická expozice</t>
  </si>
  <si>
    <t>Kolaudace v cca 1. kvartálu 2020</t>
  </si>
  <si>
    <t>Část 1
Podepsán dodatek ke smlouvě (časový horizont=finanční plnění dle smlouvy o dotaci k 7/2019, 9/2019), příprava vyúřčtování 
Část 2
Jiné zdroje = prostředky nemocnice, příprava ZD, bude relizována v případě potřeby (havarijní stav)</t>
  </si>
  <si>
    <t>Část 1
UKONČENO
Část 2
PŘÍPRAVA VZ</t>
  </si>
  <si>
    <t xml:space="preserve">9/2019
DLE POTŘEBY
</t>
  </si>
  <si>
    <t>0005740</t>
  </si>
  <si>
    <t>0005742</t>
  </si>
  <si>
    <t>0005739</t>
  </si>
  <si>
    <t>Smlouva o poskytnutí dotace SK na částku 8 mil. Kč v r. 2019 bude uzavřena na základě usnesení ZK č.069-19/2019/ZK z 24.6.2019.
Předpokládané vyhotovení ZD 9/2019, fyzická realizace stavby 
11-12/2019, ukončení akce 12/2019.
- probíhá příprava podkladů pro výběrové řízení na dodávku potřebného vybavení.  
- příprava výběrového řízení organizovaného MZČR</t>
  </si>
  <si>
    <t>0005741</t>
  </si>
  <si>
    <t>Rekonstrukce evakuačních výtahů</t>
  </si>
  <si>
    <t xml:space="preserve">V případě schválení přidělení investiční dotace budou finanční prostředky převedeny rozpočtovým opatřením z kapitoly 23 – Ostatní – Specifické rezervy – jiné očekávané výdaje ve zdravotnictví do kapitoly 12 – Investiční výdaje. </t>
  </si>
  <si>
    <t>Rekonstrukce střechy objektu G</t>
  </si>
  <si>
    <t>Klimatizace objektu Interny</t>
  </si>
  <si>
    <t>Zvýšení kvality poskytované péče - pořízení zdravotnické techniky</t>
  </si>
  <si>
    <t>Vybudování prostor pro zaměstnance a rekonstrukce pokojů klientů</t>
  </si>
  <si>
    <t xml:space="preserve">Zhotovena PD, VZMR bude vyhlášeno 10/2019 </t>
  </si>
  <si>
    <t>Změna PD, nově vyhlášeno VZMR</t>
  </si>
  <si>
    <t>Posunuta realizace o rok</t>
  </si>
  <si>
    <t>Nákup polohovacích lůžek a aktivních matrací do příspěvkových organizací</t>
  </si>
  <si>
    <t>Rekonstrukce pláště střechy zámku</t>
  </si>
  <si>
    <t>122/2019/SOC</t>
  </si>
  <si>
    <t xml:space="preserve">Osobní automobil </t>
  </si>
  <si>
    <t>123/2019/SOC</t>
  </si>
  <si>
    <t>Nemocniční lůžka pro ošetřovatelský pokoj</t>
  </si>
  <si>
    <t>124/2019/SOC</t>
  </si>
  <si>
    <t>Osobní motorové vozidlo do DS</t>
  </si>
  <si>
    <t>125/2019/SOC</t>
  </si>
  <si>
    <t xml:space="preserve">Rekonstrukce koupelny a pokoje </t>
  </si>
  <si>
    <t>Rekonstrukce podlah na chodbách</t>
  </si>
  <si>
    <t>Zpracování projektové dokumentace na akci „Rozšíření vodárenské soustavy v koridoru dálnice D3"</t>
  </si>
  <si>
    <t>změna názvu akce (dříve „Dálnice D3 – středočeská část Praha – Nová Hospoda, rozšíření vodárenské soustavy v koridoru dálnice D3, DÚR")</t>
  </si>
  <si>
    <t>Vyhlášeno VŘ na PD</t>
  </si>
  <si>
    <t>vysoutěžený dodavatel na PD, dodání PD do 29.11.2019</t>
  </si>
  <si>
    <t>0005815</t>
  </si>
  <si>
    <t>0005337</t>
  </si>
  <si>
    <t>0005744</t>
  </si>
  <si>
    <t>0005817</t>
  </si>
  <si>
    <t>0005818</t>
  </si>
  <si>
    <t>0005824</t>
  </si>
  <si>
    <t>0005819</t>
  </si>
  <si>
    <t>0005820</t>
  </si>
  <si>
    <t>135/2019/SKOL</t>
  </si>
  <si>
    <t>Zateplení budovy Velíšská 116</t>
  </si>
  <si>
    <t>136/2019/SKOL</t>
  </si>
  <si>
    <t>Služební automobil</t>
  </si>
  <si>
    <t>137/2019/SKOL</t>
  </si>
  <si>
    <t>Dodávkové auto, Mělník</t>
  </si>
  <si>
    <t>138/2019/SKOL</t>
  </si>
  <si>
    <t>Dům dětí a mládeže Beroun, U Stadionu 787 (Svatojánská 217)</t>
  </si>
  <si>
    <t>Odvlhčení objektu DDM Beroun</t>
  </si>
  <si>
    <t>139/2019/SKOL</t>
  </si>
  <si>
    <t>Střední zdravotnická škola a Vyšší odborná škola zdravotnická, Příbram I, Jiráskovy sady 113</t>
  </si>
  <si>
    <t>Dovybavení kuchyně, elektrické kotle</t>
  </si>
  <si>
    <t>III/33310 Šestajovice, průtah (ul. Revoluční)</t>
  </si>
  <si>
    <t>změna financování, nedokončení projektové přípravy v roce 2019, přesun na rok 2020</t>
  </si>
  <si>
    <t>změna financování-snížení nákladů v roce 2019, přesun do roku 2020</t>
  </si>
  <si>
    <t>změna financování, nesouhlasy vlastníků pozemků</t>
  </si>
  <si>
    <t>navýšení CN o 482 tis. Kč</t>
  </si>
  <si>
    <t>navýšení CN po výběrovém řízení o 2 mil. Kč</t>
  </si>
  <si>
    <t>navýšení CN o 568 tis. Kč, změna financování</t>
  </si>
  <si>
    <t>změna financování, zakázka zahájena již v roce 2019, přesun financí z roku 2022</t>
  </si>
  <si>
    <t>navýšení CN o 30 tis. Kč</t>
  </si>
  <si>
    <t>navýšení celkových nákladů během stavby o 35 tis. Kč</t>
  </si>
  <si>
    <t>snížení CN o 2 mil. Kč, úspora při realizaci stavby</t>
  </si>
  <si>
    <t>úprava názvu položky, navýšení CN během stavby o 103 tis. Kč</t>
  </si>
  <si>
    <t>stavebně realizováno, snížení CN o 1,855 mil. Kč, doplatek akce</t>
  </si>
  <si>
    <t>stavebně realizováno, dokončení mjt. vyrovnání, snížení CN o 135 tis. Kč</t>
  </si>
  <si>
    <t>Probíhá příprava dohody o narovnání mezi SČK a SŽDC, Dohoda k posouzení je na SŽDC. Změna financování-převod do r. 2020</t>
  </si>
  <si>
    <t>Probíhají výběrové řízení a realizace zakázek. Navýšení CN o 2,569 mil. Kč</t>
  </si>
  <si>
    <t>Změna financování-převod do r. 2020</t>
  </si>
  <si>
    <t>66/2019/KUL</t>
  </si>
  <si>
    <t>Doplnění sněhových zábran včetně výměny okapů na Jezuitské koleji</t>
  </si>
  <si>
    <t>nákup 3ks fotbalové klece</t>
  </si>
  <si>
    <t>navýšení CN o 180 tis.Kč, změna financování</t>
  </si>
  <si>
    <t>ne</t>
  </si>
  <si>
    <t>limit čerpání kap. prostředků pro r. 2019 - 87,831 mil. Kč,                        pro rok 2020 - 70 mil. Kč</t>
  </si>
  <si>
    <t>limit čerpání kap. prostředků pro r. 2019 - 1 474,517 mil. Kč (bez odloženého financování),                        pro rok 2020 - 700 mil. Kč</t>
  </si>
  <si>
    <t>Navýšení celkových nákladů o 500 tis. Kč (změna během výstavby)</t>
  </si>
  <si>
    <t>140/2019/SKOL</t>
  </si>
  <si>
    <t>141/2019/SKOL</t>
  </si>
  <si>
    <t>Střední odborná škola a Střední odborné učiliště Vlašim, Zámek 1</t>
  </si>
  <si>
    <t>dokončení zateplení a výměna oken bodova "C", OV, Tehov</t>
  </si>
  <si>
    <t>konvektomat</t>
  </si>
  <si>
    <t>Rozšíření IS GINIS na žádost FIN a vedení KÚ v souvislosti s elektronizací dokumentů Rady SčK. Snížení CN o 4 tis. Kč</t>
  </si>
  <si>
    <t>Navýšení CN o 500 tis. Kč. Bez přechodu na verzi Enterprise nebude možné realizovat zakázkové úpravy modulů IS GINIS. Nákup byl realizován v rámci zakázky na pořízení podpory systému, vyhodnocení před ukončením. Nabídkové ceny celkovou částku VZ nepřekročily, ale byly vyšší u této investice. Navýšeno bude z akce 4791</t>
  </si>
  <si>
    <t>Snížení CN o 540 tis. Kč. Požadavek vychází z povinností dle Informační koncepce České republiky ze dne 20. 9. 2018, cíle 5.3. Zavedení principů a postupů „Enterprise architektury“ do řízení eGovernmentu všech úrovní. Uspořené prostředky na rok 2020 převádíme na akci 2821</t>
  </si>
  <si>
    <t>Snížení CN o 23 tis. Kč. Rozšíření hostované spisové služby pro krajské školy, v návaznosti na nařízení EU. Požadavek KÚ v rámci realizace projektů eGovernmentu. Uspořené prostředky převádíme na akci 1514 k financování v roce 2020</t>
  </si>
  <si>
    <t>Navýšení CN o 540 tis. Kč. Převod uspořených prostředků z akce 5577 (zakoupeny budou licence windows server)</t>
  </si>
  <si>
    <t>Snížení CN o 29 tis. Kč. Důvodem rozšíření je zajištění konverze dokumentů Word na .pdf/A k elektronickému podepisování dokumentů v IS GINIS z důvodu kompatibility a přechodu na verzi IS GINIS 3.82, dokončen nákup licencí. Uspořené prostředky převádíme na akci 1514 k financování v roce 2020</t>
  </si>
  <si>
    <t>navýšení CN o 6,193 mil. Kč</t>
  </si>
  <si>
    <t>navýšení celkových nákladů o 250 tis. Kč (technický dozor stavby a zhotovení geometrických plánů)</t>
  </si>
  <si>
    <t>navýšení CN o 1000 Kč, změna financování (převod z r. 2020 na r. 2019)</t>
  </si>
  <si>
    <t>navýšení CN o 1,478 mil. Kč (v r. 2021)</t>
  </si>
  <si>
    <t>127/2019/SOC</t>
  </si>
  <si>
    <t>rekonstrukce el. sítě a osvětlení pro Domov Rožďalovice</t>
  </si>
  <si>
    <t xml:space="preserve">Stavební úprava mostů na CMS Králův Dvůr oblast Kladno </t>
  </si>
  <si>
    <t>snížení CN o 1 tis. Kč</t>
  </si>
  <si>
    <t>snížení CN o 801 tis. Kč</t>
  </si>
  <si>
    <t>Změna názvu a předmětu inv. akce, navýšení CN o 380 tis. Kč, změna financování (převod z r. 2020 na r. 2019)</t>
  </si>
  <si>
    <t>snížení CN o 2,591 mil. Kč. Zahájení stavby 15. 10. 2019</t>
  </si>
  <si>
    <t>Snížení CN o 692 tis. Kč  na základě VZMR</t>
  </si>
  <si>
    <t xml:space="preserve">Snížení CN o 600 tis. Kč </t>
  </si>
  <si>
    <t xml:space="preserve">Snížení CN o 10 tis. Kč </t>
  </si>
  <si>
    <t>snížení CN o 86 tis. Kč na základě VZMR</t>
  </si>
  <si>
    <t>Snížení ceny o 587 tis. Kč na základě VZMR</t>
  </si>
  <si>
    <t>akce ukončena, snížení celkových nákladů o 63 tis. Kč</t>
  </si>
  <si>
    <t>akce ukončena, snížení celkových nákladů o 113 tis. Kč</t>
  </si>
  <si>
    <t>navýšení celkových nákladů na akci o 500 tis. Kč</t>
  </si>
  <si>
    <t>137/2019/ZDR</t>
  </si>
  <si>
    <t>138/2019/ZDR</t>
  </si>
  <si>
    <t>139/2019/ZDR</t>
  </si>
  <si>
    <t>140/2019/ZDR</t>
  </si>
  <si>
    <t>141/2019/ZDR</t>
  </si>
  <si>
    <t>ANO
ANO
ANO</t>
  </si>
  <si>
    <r>
      <rPr>
        <sz val="11"/>
        <rFont val="Arial"/>
        <family val="2"/>
        <charset val="238"/>
      </rPr>
      <t xml:space="preserve">Část 1 Pozastaveno
</t>
    </r>
    <r>
      <rPr>
        <sz val="10"/>
        <rFont val="Arial"/>
        <family val="2"/>
        <charset val="238"/>
      </rPr>
      <t xml:space="preserve">
Část 2 REALIZACE
Část 3 REALIZACE</t>
    </r>
  </si>
  <si>
    <t>Pozastaveno
                                       12/2019                                                                                                                                                                                                                                                                                                                                                                                                                                                                                                                                            12/2022</t>
  </si>
  <si>
    <t xml:space="preserve">Část 1 - Rekonstrukce Generelu C2 
Část 2 - Probíhá pouze příprava projektové dokumentace k přesunům jednotlivých oddělení v rámci nemocničního traktu. Akce je omezena na objem 2 mil. Kč z vlastních zdrojů. 
Část 3 - Kapitálové prostředky ve výši 3,5 mil. Kč pro rok 2019 se týkají Investičního záměru - Oddělení šestinedělí modernizace oddělení. Probíhají projekční a přípravné práce. </t>
  </si>
  <si>
    <t>Fyzická realizace ukončena v březnu 2019. Po podpisu smlouvy o poskytnutí investiční dotace bude předložena žádost o proplacení a zhodnocení akce.</t>
  </si>
  <si>
    <r>
      <t xml:space="preserve">Změna způsobu financování - snížení podílu vlastních prostředků nemocnice. Realizace říjen - prosinec 2019 
</t>
    </r>
    <r>
      <rPr>
        <i/>
        <sz val="10"/>
        <color rgb="FFFF0000"/>
        <rFont val="Arial"/>
        <family val="2"/>
        <charset val="238"/>
      </rPr>
      <t xml:space="preserve">Částka 6 mil. Kč bude financována z rozpočtu kraje v případě navýšení finančních prostředků pro oblast zdravotnictví. </t>
    </r>
    <r>
      <rPr>
        <i/>
        <sz val="10"/>
        <color rgb="FF0000FB"/>
        <rFont val="Arial"/>
        <family val="2"/>
        <charset val="238"/>
      </rPr>
      <t>Snížení CN o 100 tis. Kč</t>
    </r>
  </si>
  <si>
    <t>Stavební část realizace akce byla dokončena, operační světlo je instalováno,  u VZ na dodávku operačního stolu probíhá hodnocení společně s ON Kolín (zápůjčka stolu proběhne 16.- 20.9.), předpokládaný termín dodání do konce 10/2019.</t>
  </si>
  <si>
    <t>REALIZOVÁNO, UKONČENA FAKTURACE, Podepsán dodatek 
ke smlouvě (časový horizont=finanční plnění dle smlouvy o dotaci 
k 7/2019), příprava vyúčtování.</t>
  </si>
  <si>
    <t>Část 2  přepokládatné datum uzavření smlouvy s dodavatelem 15.10.2019, dodání 4/2020.
V roce 2020 předpokládáno pořízení další 3 ks. Předpokládané ukončení celé akce 12/2021.</t>
  </si>
  <si>
    <t>Část 2
PROBÍHÁ VZ</t>
  </si>
  <si>
    <t xml:space="preserve"> Probíhá soudní spor. 
Dodávky dokončeny.</t>
  </si>
  <si>
    <t>zvýšení CN o 5,65 mil. Kč , změna financování</t>
  </si>
  <si>
    <t>snížení CN o 700 tis. Kč</t>
  </si>
  <si>
    <t>navýšení CN o 80 tis. Kč -změna PD</t>
  </si>
  <si>
    <t>navýšení CN o 900 tis. Kč -změna PD</t>
  </si>
  <si>
    <t>snížení CN o 100 tis. Kč, fyzicky hotovo</t>
  </si>
  <si>
    <t>snížení CN o 80 tis. Kč</t>
  </si>
  <si>
    <t>Změna financování. Uskutečněná dodávka HW a SW, pokračuje plnění ze smlouvy. Další investice plánovány na rok 2020 a 2021</t>
  </si>
  <si>
    <t>Změna financování. Dokončuje se vyhodnocení opětovně vyhlášené VZ. Snížení celkových nákladů na akci o 500 tis. Kč,  převádíme na akci 5545.</t>
  </si>
  <si>
    <t>Zakázka bude realizována průběžně dle potřeb IS KÚ. Změna financování (převod z r. 2019 na r. 2020)</t>
  </si>
  <si>
    <t>Změna financování - převod z r. 2019 na r. 2021. Rozšíření stávajícího a v loňském roce upgradovaného informačního systému na příspěvkové organizace kraje. Využití pro evidenci nemovitého majetku.</t>
  </si>
  <si>
    <t>změna financování ( převod z r. 2019 do r. 2021)</t>
  </si>
  <si>
    <t>změna financování ( převod z r. 2020 do r. 2019)</t>
  </si>
  <si>
    <t>změna financování ( převod z r. 2019 do r. 2020)</t>
  </si>
  <si>
    <t>změna financování ( převod z r. 2019 do r. 2021), dopracování PD</t>
  </si>
  <si>
    <t>změna financování ( převod z r. 2019 do r. 2022)</t>
  </si>
  <si>
    <t>změna financování (převod z r. 2019 do r. 2020)</t>
  </si>
  <si>
    <t>Změna financování (převod z r. 2019 do r. 2020), změna názvu akce</t>
  </si>
  <si>
    <t>Změna financování (převod z r. 2019 do r. 2020) - nelze kompletně dokončit v roce 2019</t>
  </si>
  <si>
    <t>Změna financování (převod z r. 2020 do r. 2019)</t>
  </si>
  <si>
    <t>změna financování (převod z r. 2020 na r. 2019)-změna roku realizace, navýšení CN o 190 tis. Kč na základě průzkumu trhu</t>
  </si>
  <si>
    <t>Změna financování (převod z r. 2019 do r. 2020), nákup nemovitosti do konce roku 2019</t>
  </si>
  <si>
    <t>Na výšení CN o 53 tis. Kč, změna způsobu financování (snížení jiných zdrojů)</t>
  </si>
  <si>
    <t>dílčí plnění jednotlivých akcí, zvýšení CN o 5 mil. Kč - aktualizace nákladů na akci, změna financování (převod z r. 2019 do dalších let)</t>
  </si>
  <si>
    <t>ukončeno, snížení CN o 651 tis. Kč</t>
  </si>
  <si>
    <t>Stavební práce ukončeny, čekání na úhradu faktur. Snížení CN o 200 tis</t>
  </si>
  <si>
    <t>snížení CN o 25 tis. Kč</t>
  </si>
  <si>
    <t>snížení CN o 44 tis. Kč - méněpráce</t>
  </si>
  <si>
    <t xml:space="preserve">Navýšení CN o 3,649 mil. Kč  po obdržení nabídek k VZMR. </t>
  </si>
  <si>
    <t>Navýšení CN o 100 tis. Kč, změna způsobu financování (snížení jiných zdrojů). Zvýšení ceny na základě VZMR. Změna názvu.</t>
  </si>
  <si>
    <t>Rekontrukce kanalizace avodovodu a sociálního zařízen v objektu  Gen.Eliáše 483, Kladno</t>
  </si>
  <si>
    <t>Navýšení CN o 740 tis. Kč na základě VZMR a v průběhu stavebních prací.</t>
  </si>
  <si>
    <t xml:space="preserve">Navýšení CN o 165 tis. Kč na základě VZMR. </t>
  </si>
  <si>
    <t>ano</t>
  </si>
  <si>
    <t>Střední odborná škola a Střední odborné učiuliště, městec králové, T.G.masaryka 4</t>
  </si>
  <si>
    <t>snížení CN o 417 tis. Kč</t>
  </si>
  <si>
    <t xml:space="preserve">snížení CN o 328 tis. Kč </t>
  </si>
  <si>
    <t>Snížení celkových nákladů na akci o 570 tis. Kč</t>
  </si>
  <si>
    <t>Jiné zdroje = neinvestiční prostředky z rozpočtu kraje, navýšení CN o 70 tis. Kč, změna způsobu financování</t>
  </si>
  <si>
    <t>Snížení celkových nákladů na akci o 209 tis. Kč</t>
  </si>
  <si>
    <t>navýšení CN o 50 tis. Kč</t>
  </si>
  <si>
    <t>navýšení CN o 10 tis. Kč, změna financování (převod z r. 2021 do r. 2019) - předpoklad platby přeložek inž. sítí</t>
  </si>
  <si>
    <t>3/2019/KHT</t>
  </si>
  <si>
    <t>Převod finančních prostředků z kapitoly 23 - Ostatní, Specifické rezervy - jiné očekávané výdaje ve zdravotnictví (usn. č. 047-24/2019/RK ze dne 29.7.2019)</t>
  </si>
  <si>
    <t>Navýšení rozpočtu o prostředky ze sdílených daní (usn. č. 007-20/2019/ZK ze dne 26.8.2019)</t>
  </si>
  <si>
    <t>dílčí plnění jednotlivých akcí - fakturace proběhne 10/2019, změna financování</t>
  </si>
  <si>
    <t>navýšení CN o 18,295 mil. Kč - aktualizace předpokladu nákladů příštích let, změna financování</t>
  </si>
  <si>
    <t>Obsahem je nákup SW evidenci projektů, který dodavatel již připravuje, ale bude dokončen na přelomu roku, a nákup licencí SQL server. Akce posílena z uspořených prostředků akcí 5548 a 5547 - navýšení CN o 52 tis. Kč, změna financování</t>
  </si>
  <si>
    <t xml:space="preserve">před dokončením, snížení celkových nákladů na akci o 1,349 mil. Kč </t>
  </si>
  <si>
    <t>PD hotová, VŘ na zhotovitele není vypsáno, změna financování (převod z r. 2019 do r. 2020)</t>
  </si>
  <si>
    <t>smlouva na PD, zastaveno radním, změna financování (převod z r. 2019 do r. 2022)</t>
  </si>
  <si>
    <t>smlouva na PD, vyhotovuje se PD, změna financování (převod z r. 2019 do r. 2020)</t>
  </si>
  <si>
    <t>smlouva na PD ano, změna financování (převod z r. 2019 do r. 2021)</t>
  </si>
  <si>
    <t>Jiné zdroje = neinvestiční prostředky, smlouva na PD, změna financování (převod z r. 2019 do r. 2020)</t>
  </si>
  <si>
    <t>změna financování (převod z r. 2021 do r. 2019)</t>
  </si>
  <si>
    <t>0005777</t>
  </si>
  <si>
    <t>0005826</t>
  </si>
  <si>
    <t>0005845</t>
  </si>
  <si>
    <t>13/2019/OŘÚ</t>
  </si>
  <si>
    <t>Čerpáno 1.1.-31.9. 2019</t>
  </si>
  <si>
    <t>Zapojení  finančních prostředků z minulých let (usn. č. 109-18/2019/ZK ze dne 29.4.2019)</t>
  </si>
  <si>
    <t>Pořízení osobního vozidla vyšší střední třídy</t>
  </si>
  <si>
    <t>Rekonstrukce sociálních zařízení v budově KÚ</t>
  </si>
  <si>
    <t>Pořízení frankovacího stroje</t>
  </si>
  <si>
    <r>
      <t>Původní odložené financování v letech 2019-2020. Realizace ukončena. Č</t>
    </r>
    <r>
      <rPr>
        <i/>
        <sz val="10"/>
        <rFont val="Arial"/>
        <family val="2"/>
        <charset val="238"/>
      </rPr>
      <t xml:space="preserve">ástka 2.250 tis. Kč bude převedena rozpočtovým opatřením z kapitoly 23 – Ostatní – Specifické rezervy – jiné očekávané výdaje ve zdravotnictví do kapitoly 12 – Investiční výdaje.    </t>
    </r>
    <r>
      <rPr>
        <sz val="10"/>
        <rFont val="Arial"/>
        <family val="2"/>
        <charset val="238"/>
      </rPr>
      <t>Změna způsobu financování</t>
    </r>
  </si>
  <si>
    <t>Časový horizont změny aktuálního stavu</t>
  </si>
  <si>
    <t>Předpo kládané čerpání 4.Q     1.10.-31.12. 2019</t>
  </si>
  <si>
    <t>4/2019/KHT</t>
  </si>
  <si>
    <t>Participativní rozpočet</t>
  </si>
  <si>
    <t>vše připraveno k vyhlášení VZ, změna financování (převod z r. 2019 a 2022+ do r. 2020 a 2021)</t>
  </si>
  <si>
    <t>142/2019/ZDR</t>
  </si>
  <si>
    <t>Adaptace skiaskopického pracoviště</t>
  </si>
  <si>
    <t>143/2019/ZDR</t>
  </si>
  <si>
    <t>Rekonstrukce části střechy chirurgického pavilonu</t>
  </si>
  <si>
    <t>144/2019/ZDR</t>
  </si>
  <si>
    <t>Rekonstrukce odstavných ploch a komunikací</t>
  </si>
  <si>
    <t>145/2019/ZDR</t>
  </si>
  <si>
    <t>Pasívní chlazení budov II. fáze</t>
  </si>
  <si>
    <t>146/2019/ZDR</t>
  </si>
  <si>
    <t>ON Ml. Boleslav, a. s., nem. SČK</t>
  </si>
  <si>
    <t>Demolice garáží v areálu ONMB</t>
  </si>
  <si>
    <t>PD podeps., jiné zdroje=vlastní zdroje PO</t>
  </si>
  <si>
    <t>limit čerpání kap. prostředků pro r. 2019 - 54,444 mil. Kč,                        pro rok 2020 - 10 mil. Kč</t>
  </si>
  <si>
    <t>limit čerpání kap. prostředků pro r. 2019 - 6,567 mil. Kč,                        pro rok 2020 - 10 mil. Kč</t>
  </si>
  <si>
    <t>limit čerpání kap. prostředků pro r. 2019 - 41,685 mil. Kč,                        pro rok 2020 - 30 mil. Kč</t>
  </si>
  <si>
    <t>limit čerpání kap. prostředků pro r. 2019 - 737,885 mil. Kč,                        pro rok 2020 - 205 mil. Kč</t>
  </si>
  <si>
    <t>limit čerpání kap. prostředků pro r. 2019 - 140,044 mil. Kč,                        pro rok 2020 - 80 mil. Kč</t>
  </si>
  <si>
    <t>limit čerpání kap. prostředků pro r. 2019 - 55,791 mil. Kč,                        pro rok 2020 - 50 mil. Kč</t>
  </si>
  <si>
    <t>limit čerpání kap. prostředků pro r. 2019 - 337,239 mil. Kč (bez odloženého financování),                        pro rok 2020 - 220 mil. Kč</t>
  </si>
  <si>
    <t>limit čerpání kap. prostředků pro r. 2019 - 4,835 mil. Kč,                        pro rok 2020 - 6 mil. Kč</t>
  </si>
  <si>
    <t>limit čerpání kap. prostředků pro r. 2019 - 7,4 mil. Kč,                           pro rok 2020 - 8 mil. Kč</t>
  </si>
  <si>
    <t>limit čerpání kap. prostředků pro r. 2019 - 0,796 mil. Kč,                        pro rok 2020 - 10 mil. Kč</t>
  </si>
  <si>
    <t>limit čerpání kap. prostředků pro r. 2019 - 0  Kč,                                   pro rok 2020 - 1 mil. Kč</t>
  </si>
  <si>
    <t>Smlouva o dílo se zhotovitelem akce vybraným na základě výběrového řízení na dodávky. Akce fyzicky dokončena.</t>
  </si>
  <si>
    <t>Byl proveden průzkum trhu, vytvořen seznam přístrojů.</t>
  </si>
  <si>
    <r>
      <t xml:space="preserve">Probíhá příprava podkladů - tvorba zadávací dokumentace 
pro výběr zhotovitele PD, průzkum trhu.
</t>
    </r>
    <r>
      <rPr>
        <i/>
        <sz val="10"/>
        <rFont val="Arial"/>
        <family val="2"/>
        <charset val="238"/>
      </rPr>
      <t xml:space="preserve">V případě schválení přidělení investiční dotace budou finanční prostředky převedeny rozpočtovým opatřením z kapitoly 23 – Ostatní – Specifické rezervy – jiné očekávané výdaje ve zdravotnictví do kapitoly 12 – Investiční výdaje. </t>
    </r>
  </si>
  <si>
    <t>změna financování (převod z r. 2022 do r. 2020)</t>
  </si>
  <si>
    <t>snížení CN o 23,45 mil. Kč (část bude realizována z jiných zdrojů - bude převedeno do ZP), změna způsobu financování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</si>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</sst>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00000"/>
    <numFmt numFmtId="166" formatCode="#,##0.00000"/>
    <numFmt numFmtId="167" formatCode="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22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FB"/>
      <name val="Calibri"/>
      <family val="2"/>
      <scheme val="minor"/>
    </font>
    <font>
      <strike/>
      <sz val="11"/>
      <color rgb="FF0000FB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FB"/>
      <name val="Arial"/>
      <family val="2"/>
      <charset val="238"/>
    </font>
    <font>
      <strike/>
      <sz val="12"/>
      <color rgb="FF0000FB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0000FB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AE8A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85C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5" fillId="0" borderId="0"/>
    <xf numFmtId="0" fontId="5" fillId="0" borderId="0"/>
    <xf numFmtId="0" fontId="3" fillId="0" borderId="0"/>
    <xf numFmtId="0" fontId="5" fillId="0" borderId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53">
    <xf numFmtId="0" fontId="0" fillId="0" borderId="0" xfId="0"/>
    <xf numFmtId="3" fontId="7" fillId="0" borderId="23" xfId="1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7" fillId="0" borderId="22" xfId="1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7" fillId="0" borderId="32" xfId="1" applyNumberFormat="1" applyFont="1" applyFill="1" applyBorder="1" applyAlignment="1">
      <alignment vertical="center" wrapText="1"/>
    </xf>
    <xf numFmtId="3" fontId="7" fillId="0" borderId="31" xfId="1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7" fillId="0" borderId="26" xfId="1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12" fillId="0" borderId="26" xfId="1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7" fillId="0" borderId="33" xfId="1" applyNumberFormat="1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vertical="center" wrapText="1"/>
    </xf>
    <xf numFmtId="3" fontId="5" fillId="0" borderId="37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 wrapText="1"/>
    </xf>
    <xf numFmtId="3" fontId="11" fillId="0" borderId="31" xfId="0" applyNumberFormat="1" applyFont="1" applyFill="1" applyBorder="1" applyAlignment="1">
      <alignment vertical="center" wrapText="1"/>
    </xf>
    <xf numFmtId="3" fontId="12" fillId="0" borderId="33" xfId="1" applyNumberFormat="1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vertical="center" wrapText="1"/>
    </xf>
    <xf numFmtId="3" fontId="7" fillId="0" borderId="13" xfId="1" applyNumberFormat="1" applyFont="1" applyFill="1" applyBorder="1" applyAlignment="1">
      <alignment vertical="center" wrapText="1"/>
    </xf>
    <xf numFmtId="3" fontId="5" fillId="0" borderId="43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5" borderId="37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 shrinkToFi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22" xfId="0" applyNumberFormat="1" applyFont="1" applyFill="1" applyBorder="1" applyAlignment="1">
      <alignment horizontal="center" vertical="center" wrapText="1" shrinkToFit="1"/>
    </xf>
    <xf numFmtId="49" fontId="7" fillId="0" borderId="3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7" borderId="18" xfId="1" applyNumberFormat="1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7" borderId="18" xfId="1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3" fontId="7" fillId="7" borderId="18" xfId="1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7" fillId="7" borderId="18" xfId="1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3" fontId="11" fillId="0" borderId="32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7" fillId="0" borderId="24" xfId="1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 shrinkToFit="1"/>
    </xf>
    <xf numFmtId="49" fontId="7" fillId="0" borderId="23" xfId="0" applyNumberFormat="1" applyFont="1" applyFill="1" applyBorder="1" applyAlignment="1">
      <alignment horizontal="center" vertical="center" wrapText="1" shrinkToFit="1"/>
    </xf>
    <xf numFmtId="49" fontId="12" fillId="0" borderId="33" xfId="0" applyNumberFormat="1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3" fontId="7" fillId="7" borderId="6" xfId="0" applyNumberFormat="1" applyFont="1" applyFill="1" applyBorder="1" applyAlignment="1">
      <alignment horizontal="right" wrapText="1"/>
    </xf>
    <xf numFmtId="3" fontId="7" fillId="7" borderId="2" xfId="0" applyNumberFormat="1" applyFont="1" applyFill="1" applyBorder="1" applyAlignment="1"/>
    <xf numFmtId="3" fontId="7" fillId="7" borderId="23" xfId="0" applyNumberFormat="1" applyFont="1" applyFill="1" applyBorder="1" applyAlignment="1"/>
    <xf numFmtId="3" fontId="7" fillId="7" borderId="26" xfId="0" applyNumberFormat="1" applyFont="1" applyFill="1" applyBorder="1" applyAlignment="1"/>
    <xf numFmtId="3" fontId="7" fillId="7" borderId="22" xfId="0" applyNumberFormat="1" applyFont="1" applyFill="1" applyBorder="1" applyAlignment="1"/>
    <xf numFmtId="3" fontId="7" fillId="7" borderId="18" xfId="0" applyNumberFormat="1" applyFont="1" applyFill="1" applyBorder="1" applyAlignment="1"/>
    <xf numFmtId="3" fontId="7" fillId="7" borderId="6" xfId="0" applyNumberFormat="1" applyFont="1" applyFill="1" applyBorder="1" applyAlignment="1"/>
    <xf numFmtId="0" fontId="7" fillId="7" borderId="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27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4" fontId="7" fillId="7" borderId="12" xfId="0" applyNumberFormat="1" applyFont="1" applyFill="1" applyBorder="1" applyAlignment="1">
      <alignment horizontal="left"/>
    </xf>
    <xf numFmtId="4" fontId="5" fillId="7" borderId="4" xfId="0" applyNumberFormat="1" applyFont="1" applyFill="1" applyBorder="1" applyAlignment="1">
      <alignment horizontal="left"/>
    </xf>
    <xf numFmtId="4" fontId="5" fillId="7" borderId="25" xfId="0" applyNumberFormat="1" applyFont="1" applyFill="1" applyBorder="1" applyAlignment="1">
      <alignment horizontal="left"/>
    </xf>
    <xf numFmtId="4" fontId="5" fillId="7" borderId="31" xfId="0" applyNumberFormat="1" applyFont="1" applyFill="1" applyBorder="1" applyAlignment="1">
      <alignment horizontal="left"/>
    </xf>
    <xf numFmtId="4" fontId="5" fillId="7" borderId="28" xfId="0" applyNumberFormat="1" applyFont="1" applyFill="1" applyBorder="1" applyAlignment="1">
      <alignment horizontal="left"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7" borderId="18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8" fillId="7" borderId="18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/>
    </xf>
    <xf numFmtId="0" fontId="6" fillId="7" borderId="5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 vertical="center" wrapText="1"/>
    </xf>
    <xf numFmtId="0" fontId="19" fillId="0" borderId="3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7" fillId="0" borderId="37" xfId="1" applyNumberFormat="1" applyFont="1" applyFill="1" applyBorder="1" applyAlignment="1">
      <alignment vertical="center" wrapText="1"/>
    </xf>
    <xf numFmtId="3" fontId="5" fillId="0" borderId="49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/>
    </xf>
    <xf numFmtId="3" fontId="5" fillId="0" borderId="26" xfId="3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3" fontId="11" fillId="0" borderId="26" xfId="3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3" fontId="5" fillId="0" borderId="44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3" fontId="12" fillId="0" borderId="13" xfId="1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vertical="center" wrapText="1"/>
    </xf>
    <xf numFmtId="3" fontId="11" fillId="0" borderId="43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2" xfId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4" fontId="7" fillId="7" borderId="6" xfId="0" applyNumberFormat="1" applyFont="1" applyFill="1" applyBorder="1" applyAlignment="1">
      <alignment horizontal="center" vertical="center" wrapText="1"/>
    </xf>
    <xf numFmtId="4" fontId="7" fillId="7" borderId="18" xfId="0" applyNumberFormat="1" applyFont="1" applyFill="1" applyBorder="1" applyAlignment="1">
      <alignment horizontal="center" vertical="center" wrapText="1"/>
    </xf>
    <xf numFmtId="4" fontId="7" fillId="7" borderId="5" xfId="0" applyNumberFormat="1" applyFont="1" applyFill="1" applyBorder="1" applyAlignment="1">
      <alignment horizontal="right" vertical="center" wrapText="1"/>
    </xf>
    <xf numFmtId="3" fontId="7" fillId="7" borderId="18" xfId="1" applyNumberFormat="1" applyFont="1" applyFill="1" applyBorder="1" applyAlignment="1">
      <alignment horizontal="center" vertical="center"/>
    </xf>
    <xf numFmtId="4" fontId="7" fillId="7" borderId="12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vertical="center" wrapText="1"/>
    </xf>
    <xf numFmtId="3" fontId="7" fillId="0" borderId="25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7" fillId="0" borderId="28" xfId="1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4" fontId="7" fillId="5" borderId="5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horizontal="left"/>
    </xf>
    <xf numFmtId="4" fontId="7" fillId="0" borderId="7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/>
    <xf numFmtId="3" fontId="7" fillId="4" borderId="2" xfId="0" applyNumberFormat="1" applyFont="1" applyFill="1" applyBorder="1" applyAlignment="1">
      <alignment vertical="center" wrapText="1"/>
    </xf>
    <xf numFmtId="3" fontId="7" fillId="5" borderId="9" xfId="0" applyNumberFormat="1" applyFont="1" applyFill="1" applyBorder="1" applyAlignment="1">
      <alignment vertical="center" wrapText="1"/>
    </xf>
    <xf numFmtId="3" fontId="7" fillId="4" borderId="26" xfId="0" applyNumberFormat="1" applyFont="1" applyFill="1" applyBorder="1" applyAlignment="1">
      <alignment vertical="center" wrapText="1"/>
    </xf>
    <xf numFmtId="3" fontId="7" fillId="5" borderId="32" xfId="0" applyNumberFormat="1" applyFont="1" applyFill="1" applyBorder="1" applyAlignment="1">
      <alignment vertical="center" wrapText="1"/>
    </xf>
    <xf numFmtId="3" fontId="7" fillId="5" borderId="14" xfId="0" applyNumberFormat="1" applyFont="1" applyFill="1" applyBorder="1" applyAlignment="1">
      <alignment vertical="center" wrapText="1"/>
    </xf>
    <xf numFmtId="3" fontId="7" fillId="5" borderId="35" xfId="0" applyNumberFormat="1" applyFont="1" applyFill="1" applyBorder="1" applyAlignment="1">
      <alignment vertical="center" wrapText="1"/>
    </xf>
    <xf numFmtId="3" fontId="7" fillId="4" borderId="22" xfId="0" applyNumberFormat="1" applyFont="1" applyFill="1" applyBorder="1" applyAlignment="1">
      <alignment vertical="center" wrapText="1"/>
    </xf>
    <xf numFmtId="3" fontId="7" fillId="5" borderId="16" xfId="0" applyNumberFormat="1" applyFont="1" applyFill="1" applyBorder="1" applyAlignment="1">
      <alignment vertical="center" wrapText="1"/>
    </xf>
    <xf numFmtId="3" fontId="7" fillId="5" borderId="43" xfId="0" applyNumberFormat="1" applyFont="1" applyFill="1" applyBorder="1" applyAlignment="1">
      <alignment vertical="center" wrapText="1"/>
    </xf>
    <xf numFmtId="3" fontId="7" fillId="5" borderId="24" xfId="0" applyNumberFormat="1" applyFont="1" applyFill="1" applyBorder="1" applyAlignment="1">
      <alignment vertical="center" wrapText="1"/>
    </xf>
    <xf numFmtId="3" fontId="7" fillId="5" borderId="29" xfId="0" applyNumberFormat="1" applyFont="1" applyFill="1" applyBorder="1" applyAlignment="1">
      <alignment vertical="center" wrapText="1"/>
    </xf>
    <xf numFmtId="3" fontId="7" fillId="4" borderId="13" xfId="0" applyNumberFormat="1" applyFont="1" applyFill="1" applyBorder="1" applyAlignment="1">
      <alignment vertical="center" wrapText="1"/>
    </xf>
    <xf numFmtId="3" fontId="7" fillId="4" borderId="23" xfId="0" applyNumberFormat="1" applyFont="1" applyFill="1" applyBorder="1" applyAlignment="1">
      <alignment vertical="center" wrapText="1"/>
    </xf>
    <xf numFmtId="3" fontId="7" fillId="4" borderId="14" xfId="0" applyNumberFormat="1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vertical="center" wrapText="1"/>
    </xf>
    <xf numFmtId="3" fontId="7" fillId="5" borderId="0" xfId="0" applyNumberFormat="1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/>
    </xf>
    <xf numFmtId="3" fontId="7" fillId="0" borderId="26" xfId="1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/>
    </xf>
    <xf numFmtId="3" fontId="7" fillId="0" borderId="33" xfId="1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3" fontId="7" fillId="0" borderId="13" xfId="1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3" fontId="7" fillId="0" borderId="27" xfId="1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3" fontId="7" fillId="0" borderId="19" xfId="1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3" fontId="5" fillId="0" borderId="49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3" fontId="5" fillId="5" borderId="2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3" fontId="12" fillId="5" borderId="32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32" xfId="0" applyNumberFormat="1" applyFont="1" applyFill="1" applyBorder="1" applyAlignment="1">
      <alignment horizontal="right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3" fontId="7" fillId="5" borderId="24" xfId="0" applyNumberFormat="1" applyFont="1" applyFill="1" applyBorder="1" applyAlignment="1">
      <alignment vertical="center"/>
    </xf>
    <xf numFmtId="49" fontId="5" fillId="0" borderId="28" xfId="1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3" fontId="7" fillId="0" borderId="23" xfId="1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3" fontId="7" fillId="0" borderId="26" xfId="1" applyNumberFormat="1" applyFont="1" applyFill="1" applyBorder="1" applyAlignment="1">
      <alignment vertical="center"/>
    </xf>
    <xf numFmtId="3" fontId="7" fillId="4" borderId="26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3" fontId="7" fillId="5" borderId="26" xfId="0" applyNumberFormat="1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3" fontId="7" fillId="0" borderId="22" xfId="1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 shrinkToFit="1"/>
    </xf>
    <xf numFmtId="3" fontId="5" fillId="0" borderId="26" xfId="0" applyNumberFormat="1" applyFont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vertical="center" wrapText="1"/>
    </xf>
    <xf numFmtId="3" fontId="11" fillId="0" borderId="26" xfId="0" applyNumberFormat="1" applyFont="1" applyBorder="1" applyAlignment="1">
      <alignment vertical="center" wrapText="1"/>
    </xf>
    <xf numFmtId="3" fontId="11" fillId="0" borderId="26" xfId="3" applyNumberFormat="1" applyFont="1" applyBorder="1" applyAlignment="1">
      <alignment vertical="center"/>
    </xf>
    <xf numFmtId="49" fontId="11" fillId="0" borderId="26" xfId="0" applyNumberFormat="1" applyFont="1" applyBorder="1" applyAlignment="1">
      <alignment horizontal="center" vertical="center" wrapText="1"/>
    </xf>
    <xf numFmtId="3" fontId="11" fillId="0" borderId="26" xfId="3" applyNumberFormat="1" applyFont="1" applyBorder="1" applyAlignment="1">
      <alignment horizontal="center" vertical="center"/>
    </xf>
    <xf numFmtId="3" fontId="11" fillId="0" borderId="26" xfId="3" applyNumberFormat="1" applyFont="1" applyBorder="1" applyAlignment="1">
      <alignment horizontal="center" vertical="center" wrapText="1"/>
    </xf>
    <xf numFmtId="3" fontId="12" fillId="0" borderId="26" xfId="3" applyNumberFormat="1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 shrinkToFit="1"/>
    </xf>
    <xf numFmtId="3" fontId="7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49" fontId="5" fillId="10" borderId="26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49" fontId="7" fillId="7" borderId="12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" fontId="7" fillId="7" borderId="18" xfId="1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5" fillId="5" borderId="27" xfId="0" applyNumberFormat="1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3" fontId="12" fillId="5" borderId="26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7" fillId="4" borderId="13" xfId="0" applyNumberFormat="1" applyFont="1" applyFill="1" applyBorder="1" applyAlignment="1">
      <alignment vertical="center"/>
    </xf>
    <xf numFmtId="3" fontId="7" fillId="5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49" fontId="11" fillId="0" borderId="31" xfId="0" applyNumberFormat="1" applyFont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/>
    </xf>
    <xf numFmtId="0" fontId="7" fillId="7" borderId="12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3" fontId="7" fillId="7" borderId="12" xfId="1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5" fillId="5" borderId="18" xfId="0" applyNumberFormat="1" applyFont="1" applyFill="1" applyBorder="1" applyAlignment="1">
      <alignment horizontal="center" vertical="center" wrapText="1"/>
    </xf>
    <xf numFmtId="3" fontId="5" fillId="7" borderId="18" xfId="1" applyNumberFormat="1" applyFont="1" applyFill="1" applyBorder="1" applyAlignment="1">
      <alignment vertical="center" wrapText="1"/>
    </xf>
    <xf numFmtId="3" fontId="5" fillId="5" borderId="37" xfId="1" applyNumberFormat="1" applyFont="1" applyFill="1" applyBorder="1" applyAlignment="1">
      <alignment vertical="center"/>
    </xf>
    <xf numFmtId="3" fontId="11" fillId="5" borderId="37" xfId="1" applyNumberFormat="1" applyFont="1" applyFill="1" applyBorder="1" applyAlignment="1">
      <alignment vertical="center"/>
    </xf>
    <xf numFmtId="0" fontId="7" fillId="0" borderId="0" xfId="0" applyFont="1" applyFill="1"/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1" fontId="7" fillId="7" borderId="14" xfId="1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3" fontId="7" fillId="7" borderId="14" xfId="1" applyNumberFormat="1" applyFont="1" applyFill="1" applyBorder="1" applyAlignment="1">
      <alignment vertical="center" wrapText="1"/>
    </xf>
    <xf numFmtId="3" fontId="5" fillId="7" borderId="14" xfId="1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3" fontId="7" fillId="0" borderId="33" xfId="1" applyNumberFormat="1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/>
    </xf>
    <xf numFmtId="3" fontId="7" fillId="4" borderId="33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 wrapText="1"/>
    </xf>
    <xf numFmtId="3" fontId="5" fillId="0" borderId="45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7" borderId="12" xfId="1" applyNumberFormat="1" applyFont="1" applyFill="1" applyBorder="1" applyAlignment="1">
      <alignment vertical="center" wrapText="1"/>
    </xf>
    <xf numFmtId="3" fontId="5" fillId="0" borderId="47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7" borderId="53" xfId="1" applyNumberFormat="1" applyFont="1" applyFill="1" applyBorder="1" applyAlignment="1">
      <alignment vertical="center" wrapText="1"/>
    </xf>
    <xf numFmtId="3" fontId="5" fillId="7" borderId="54" xfId="1" applyNumberFormat="1" applyFont="1" applyFill="1" applyBorder="1" applyAlignment="1">
      <alignment vertical="center" wrapText="1"/>
    </xf>
    <xf numFmtId="3" fontId="5" fillId="7" borderId="62" xfId="1" applyNumberFormat="1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5" fillId="0" borderId="44" xfId="0" applyNumberFormat="1" applyFont="1" applyBorder="1" applyAlignment="1">
      <alignment vertical="center" wrapText="1"/>
    </xf>
    <xf numFmtId="3" fontId="5" fillId="0" borderId="40" xfId="0" applyNumberFormat="1" applyFont="1" applyBorder="1" applyAlignment="1">
      <alignment vertical="center" wrapText="1"/>
    </xf>
    <xf numFmtId="3" fontId="5" fillId="5" borderId="19" xfId="0" applyNumberFormat="1" applyFont="1" applyFill="1" applyBorder="1" applyAlignment="1">
      <alignment vertical="center" wrapText="1"/>
    </xf>
    <xf numFmtId="3" fontId="5" fillId="0" borderId="52" xfId="0" applyNumberFormat="1" applyFont="1" applyBorder="1" applyAlignment="1">
      <alignment vertical="center" wrapText="1"/>
    </xf>
    <xf numFmtId="3" fontId="5" fillId="5" borderId="32" xfId="0" applyNumberFormat="1" applyFont="1" applyFill="1" applyBorder="1" applyAlignment="1">
      <alignment vertical="center" wrapText="1"/>
    </xf>
    <xf numFmtId="3" fontId="11" fillId="0" borderId="45" xfId="0" applyNumberFormat="1" applyFont="1" applyFill="1" applyBorder="1" applyAlignment="1">
      <alignment vertical="center"/>
    </xf>
    <xf numFmtId="3" fontId="11" fillId="0" borderId="40" xfId="0" applyNumberFormat="1" applyFont="1" applyFill="1" applyBorder="1" applyAlignment="1">
      <alignment vertical="center" wrapText="1"/>
    </xf>
    <xf numFmtId="3" fontId="11" fillId="0" borderId="45" xfId="0" applyNumberFormat="1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11" fillId="5" borderId="37" xfId="3" applyNumberFormat="1" applyFont="1" applyFill="1" applyBorder="1" applyAlignment="1">
      <alignment vertical="center"/>
    </xf>
    <xf numFmtId="3" fontId="11" fillId="5" borderId="37" xfId="0" applyNumberFormat="1" applyFont="1" applyFill="1" applyBorder="1" applyAlignment="1">
      <alignment vertical="center" wrapText="1"/>
    </xf>
    <xf numFmtId="3" fontId="11" fillId="0" borderId="40" xfId="0" applyNumberFormat="1" applyFont="1" applyBorder="1" applyAlignment="1">
      <alignment vertical="center" wrapText="1"/>
    </xf>
    <xf numFmtId="3" fontId="11" fillId="0" borderId="40" xfId="3" applyNumberFormat="1" applyFont="1" applyBorder="1" applyAlignment="1">
      <alignment vertical="center"/>
    </xf>
    <xf numFmtId="3" fontId="5" fillId="5" borderId="16" xfId="0" applyNumberFormat="1" applyFont="1" applyFill="1" applyBorder="1" applyAlignment="1">
      <alignment vertical="center" wrapText="1"/>
    </xf>
    <xf numFmtId="3" fontId="5" fillId="5" borderId="0" xfId="0" applyNumberFormat="1" applyFont="1" applyFill="1" applyBorder="1" applyAlignment="1">
      <alignment vertical="center"/>
    </xf>
    <xf numFmtId="3" fontId="5" fillId="5" borderId="43" xfId="1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3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3" fontId="12" fillId="4" borderId="26" xfId="0" applyNumberFormat="1" applyFont="1" applyFill="1" applyBorder="1" applyAlignment="1">
      <alignment vertical="center"/>
    </xf>
    <xf numFmtId="3" fontId="12" fillId="5" borderId="24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3" fontId="12" fillId="5" borderId="32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3" fontId="10" fillId="0" borderId="26" xfId="1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5" borderId="39" xfId="1" applyNumberFormat="1" applyFont="1" applyFill="1" applyBorder="1" applyAlignment="1">
      <alignment vertical="center"/>
    </xf>
    <xf numFmtId="3" fontId="5" fillId="5" borderId="31" xfId="1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7" fillId="7" borderId="6" xfId="1" applyNumberFormat="1" applyFont="1" applyFill="1" applyBorder="1" applyAlignment="1">
      <alignment vertical="center" wrapText="1"/>
    </xf>
    <xf numFmtId="3" fontId="7" fillId="7" borderId="12" xfId="1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" fontId="10" fillId="0" borderId="23" xfId="1" applyNumberFormat="1" applyFont="1" applyFill="1" applyBorder="1" applyAlignment="1">
      <alignment vertical="center" wrapText="1"/>
    </xf>
    <xf numFmtId="3" fontId="5" fillId="5" borderId="18" xfId="0" applyNumberFormat="1" applyFont="1" applyFill="1" applyBorder="1" applyAlignment="1">
      <alignment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3" fontId="10" fillId="0" borderId="26" xfId="1" applyNumberFormat="1" applyFont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3" fontId="10" fillId="0" borderId="33" xfId="1" applyNumberFormat="1" applyFont="1" applyFill="1" applyBorder="1" applyAlignment="1">
      <alignment vertical="center" wrapText="1"/>
    </xf>
    <xf numFmtId="3" fontId="12" fillId="5" borderId="35" xfId="0" applyNumberFormat="1" applyFont="1" applyFill="1" applyBorder="1" applyAlignment="1">
      <alignment vertical="center" wrapText="1"/>
    </xf>
    <xf numFmtId="3" fontId="10" fillId="0" borderId="26" xfId="1" applyNumberFormat="1" applyFont="1" applyFill="1" applyBorder="1" applyAlignment="1">
      <alignment vertical="center" wrapText="1"/>
    </xf>
    <xf numFmtId="3" fontId="12" fillId="0" borderId="31" xfId="1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 shrinkToFit="1"/>
    </xf>
    <xf numFmtId="0" fontId="5" fillId="0" borderId="18" xfId="1" applyFont="1" applyFill="1" applyBorder="1" applyAlignment="1">
      <alignment horizontal="center" vertical="center" wrapText="1"/>
    </xf>
    <xf numFmtId="3" fontId="7" fillId="4" borderId="18" xfId="0" applyNumberFormat="1" applyFont="1" applyFill="1" applyBorder="1" applyAlignment="1">
      <alignment vertical="center" wrapText="1"/>
    </xf>
    <xf numFmtId="3" fontId="7" fillId="5" borderId="5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3" fontId="12" fillId="5" borderId="43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vertical="center"/>
    </xf>
    <xf numFmtId="3" fontId="12" fillId="4" borderId="26" xfId="0" applyNumberFormat="1" applyFont="1" applyFill="1" applyBorder="1" applyAlignment="1">
      <alignment vertical="center" wrapText="1"/>
    </xf>
    <xf numFmtId="3" fontId="11" fillId="0" borderId="32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7" fillId="0" borderId="26" xfId="1" applyNumberFormat="1" applyFont="1" applyFill="1" applyBorder="1" applyAlignment="1">
      <alignment horizontal="right" vertical="center" wrapText="1"/>
    </xf>
    <xf numFmtId="3" fontId="7" fillId="0" borderId="31" xfId="1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50" xfId="0" applyNumberFormat="1" applyFont="1" applyFill="1" applyBorder="1" applyAlignment="1">
      <alignment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11" fillId="5" borderId="19" xfId="0" applyNumberFormat="1" applyFont="1" applyFill="1" applyBorder="1" applyAlignment="1">
      <alignment vertical="center" wrapText="1"/>
    </xf>
    <xf numFmtId="3" fontId="12" fillId="4" borderId="13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vertical="center" wrapText="1"/>
    </xf>
    <xf numFmtId="3" fontId="15" fillId="0" borderId="24" xfId="1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" fontId="7" fillId="7" borderId="30" xfId="1" applyNumberFormat="1" applyFont="1" applyFill="1" applyBorder="1" applyAlignment="1">
      <alignment horizontal="center" vertical="center" wrapText="1"/>
    </xf>
    <xf numFmtId="49" fontId="7" fillId="7" borderId="14" xfId="1" applyNumberFormat="1" applyFont="1" applyFill="1" applyBorder="1" applyAlignment="1">
      <alignment horizontal="center" vertical="center" wrapText="1"/>
    </xf>
    <xf numFmtId="3" fontId="7" fillId="0" borderId="31" xfId="1" applyNumberFormat="1" applyFont="1" applyBorder="1" applyAlignment="1">
      <alignment vertical="center" wrapText="1"/>
    </xf>
    <xf numFmtId="3" fontId="7" fillId="0" borderId="34" xfId="1" applyNumberFormat="1" applyFont="1" applyBorder="1" applyAlignment="1">
      <alignment vertical="center" wrapText="1"/>
    </xf>
    <xf numFmtId="3" fontId="7" fillId="0" borderId="34" xfId="1" applyNumberFormat="1" applyFont="1" applyFill="1" applyBorder="1" applyAlignment="1">
      <alignment vertical="center" wrapText="1"/>
    </xf>
    <xf numFmtId="3" fontId="12" fillId="0" borderId="34" xfId="1" applyNumberFormat="1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 wrapText="1"/>
    </xf>
    <xf numFmtId="3" fontId="12" fillId="0" borderId="31" xfId="3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31" xfId="1" applyNumberFormat="1" applyFont="1" applyFill="1" applyBorder="1" applyAlignment="1">
      <alignment vertical="center"/>
    </xf>
    <xf numFmtId="3" fontId="12" fillId="0" borderId="31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3" fontId="12" fillId="0" borderId="25" xfId="1" applyNumberFormat="1" applyFont="1" applyFill="1" applyBorder="1" applyAlignment="1">
      <alignment vertical="center"/>
    </xf>
    <xf numFmtId="3" fontId="7" fillId="0" borderId="34" xfId="1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3" fontId="7" fillId="0" borderId="34" xfId="0" applyNumberFormat="1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7" borderId="30" xfId="1" applyNumberFormat="1" applyFont="1" applyFill="1" applyBorder="1" applyAlignment="1">
      <alignment vertical="center" wrapText="1"/>
    </xf>
    <xf numFmtId="3" fontId="11" fillId="0" borderId="31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7" borderId="6" xfId="1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11" fillId="0" borderId="32" xfId="0" applyNumberFormat="1" applyFont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/>
    </xf>
    <xf numFmtId="49" fontId="5" fillId="0" borderId="35" xfId="0" applyNumberFormat="1" applyFont="1" applyFill="1" applyBorder="1" applyAlignment="1">
      <alignment horizontal="center" vertical="center" wrapText="1" shrinkToFit="1"/>
    </xf>
    <xf numFmtId="3" fontId="5" fillId="0" borderId="58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3" fontId="15" fillId="0" borderId="33" xfId="1" applyNumberFormat="1" applyFont="1" applyFill="1" applyBorder="1" applyAlignment="1">
      <alignment vertical="center"/>
    </xf>
    <xf numFmtId="3" fontId="7" fillId="5" borderId="13" xfId="0" applyNumberFormat="1" applyFont="1" applyFill="1" applyBorder="1" applyAlignment="1">
      <alignment vertical="center" wrapText="1"/>
    </xf>
    <xf numFmtId="3" fontId="5" fillId="0" borderId="51" xfId="0" applyNumberFormat="1" applyFont="1" applyFill="1" applyBorder="1" applyAlignment="1">
      <alignment vertical="center" wrapText="1"/>
    </xf>
    <xf numFmtId="3" fontId="7" fillId="7" borderId="18" xfId="0" applyNumberFormat="1" applyFont="1" applyFill="1" applyBorder="1" applyAlignment="1">
      <alignment horizontal="center" vertical="center" wrapText="1" shrinkToFit="1"/>
    </xf>
    <xf numFmtId="3" fontId="5" fillId="0" borderId="17" xfId="0" applyNumberFormat="1" applyFont="1" applyBorder="1" applyAlignment="1">
      <alignment vertical="center" wrapText="1"/>
    </xf>
    <xf numFmtId="3" fontId="5" fillId="5" borderId="23" xfId="0" applyNumberFormat="1" applyFont="1" applyFill="1" applyBorder="1" applyAlignment="1">
      <alignment vertical="center"/>
    </xf>
    <xf numFmtId="3" fontId="7" fillId="0" borderId="20" xfId="1" applyNumberFormat="1" applyFont="1" applyFill="1" applyBorder="1" applyAlignment="1">
      <alignment vertical="center" wrapText="1"/>
    </xf>
    <xf numFmtId="4" fontId="5" fillId="6" borderId="37" xfId="0" applyNumberFormat="1" applyFont="1" applyFill="1" applyBorder="1" applyAlignment="1">
      <alignment horizontal="center" vertical="center" wrapText="1"/>
    </xf>
    <xf numFmtId="3" fontId="11" fillId="5" borderId="26" xfId="0" applyNumberFormat="1" applyFont="1" applyFill="1" applyBorder="1" applyAlignment="1">
      <alignment vertical="center" wrapText="1"/>
    </xf>
    <xf numFmtId="0" fontId="5" fillId="6" borderId="36" xfId="0" applyFont="1" applyFill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 applyAlignment="1">
      <alignment horizontal="center" vertical="center"/>
    </xf>
    <xf numFmtId="3" fontId="5" fillId="7" borderId="38" xfId="1" applyNumberFormat="1" applyFont="1" applyFill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 horizontal="right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3" fontId="7" fillId="6" borderId="31" xfId="0" applyNumberFormat="1" applyFont="1" applyFill="1" applyBorder="1" applyAlignment="1">
      <alignment vertical="center" wrapText="1"/>
    </xf>
    <xf numFmtId="3" fontId="5" fillId="7" borderId="50" xfId="1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 wrapText="1"/>
    </xf>
    <xf numFmtId="3" fontId="7" fillId="5" borderId="26" xfId="0" applyNumberFormat="1" applyFont="1" applyFill="1" applyBorder="1" applyAlignment="1">
      <alignment vertical="center" wrapText="1"/>
    </xf>
    <xf numFmtId="3" fontId="12" fillId="5" borderId="26" xfId="0" applyNumberFormat="1" applyFont="1" applyFill="1" applyBorder="1" applyAlignment="1">
      <alignment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/>
    </xf>
    <xf numFmtId="0" fontId="5" fillId="9" borderId="26" xfId="0" applyFont="1" applyFill="1" applyBorder="1" applyAlignment="1">
      <alignment horizontal="center" vertical="center" wrapText="1"/>
    </xf>
    <xf numFmtId="3" fontId="7" fillId="9" borderId="31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3" fontId="7" fillId="6" borderId="25" xfId="0" applyNumberFormat="1" applyFont="1" applyFill="1" applyBorder="1" applyAlignment="1">
      <alignment vertical="center" wrapText="1"/>
    </xf>
    <xf numFmtId="3" fontId="10" fillId="9" borderId="31" xfId="1" applyNumberFormat="1" applyFont="1" applyFill="1" applyBorder="1" applyAlignment="1">
      <alignment vertical="center"/>
    </xf>
    <xf numFmtId="0" fontId="9" fillId="9" borderId="32" xfId="0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3" fontId="12" fillId="0" borderId="13" xfId="1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12" fillId="5" borderId="43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right" vertical="center"/>
    </xf>
    <xf numFmtId="3" fontId="15" fillId="0" borderId="34" xfId="1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3" fontId="10" fillId="9" borderId="34" xfId="1" applyNumberFormat="1" applyFont="1" applyFill="1" applyBorder="1" applyAlignment="1">
      <alignment vertical="center"/>
    </xf>
    <xf numFmtId="0" fontId="9" fillId="9" borderId="26" xfId="0" applyFont="1" applyFill="1" applyBorder="1" applyAlignment="1">
      <alignment horizontal="center" vertical="center" wrapText="1"/>
    </xf>
    <xf numFmtId="3" fontId="7" fillId="9" borderId="31" xfId="1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24" fillId="0" borderId="0" xfId="0" applyFont="1"/>
    <xf numFmtId="0" fontId="13" fillId="0" borderId="24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3" fontId="15" fillId="0" borderId="31" xfId="1" applyNumberFormat="1" applyFont="1" applyFill="1" applyBorder="1" applyAlignment="1">
      <alignment vertical="center" wrapText="1"/>
    </xf>
    <xf numFmtId="3" fontId="15" fillId="0" borderId="26" xfId="1" applyNumberFormat="1" applyFont="1" applyFill="1" applyBorder="1" applyAlignment="1">
      <alignment vertical="center" wrapText="1"/>
    </xf>
    <xf numFmtId="3" fontId="7" fillId="9" borderId="34" xfId="1" applyNumberFormat="1" applyFont="1" applyFill="1" applyBorder="1" applyAlignment="1">
      <alignment vertical="center" wrapText="1"/>
    </xf>
    <xf numFmtId="0" fontId="5" fillId="9" borderId="35" xfId="0" applyFont="1" applyFill="1" applyBorder="1" applyAlignment="1">
      <alignment horizontal="center" vertical="center" wrapText="1"/>
    </xf>
    <xf numFmtId="3" fontId="10" fillId="0" borderId="31" xfId="1" applyNumberFormat="1" applyFont="1" applyFill="1" applyBorder="1" applyAlignment="1">
      <alignment vertical="center" wrapText="1"/>
    </xf>
    <xf numFmtId="3" fontId="7" fillId="6" borderId="27" xfId="1" applyNumberFormat="1" applyFont="1" applyFill="1" applyBorder="1" applyAlignment="1">
      <alignment vertical="center" wrapText="1"/>
    </xf>
    <xf numFmtId="3" fontId="7" fillId="6" borderId="26" xfId="1" applyNumberFormat="1" applyFont="1" applyFill="1" applyBorder="1" applyAlignment="1">
      <alignment vertical="center" wrapText="1"/>
    </xf>
    <xf numFmtId="3" fontId="7" fillId="6" borderId="31" xfId="1" applyNumberFormat="1" applyFont="1" applyFill="1" applyBorder="1" applyAlignment="1">
      <alignment vertical="center" wrapText="1"/>
    </xf>
    <xf numFmtId="3" fontId="7" fillId="6" borderId="37" xfId="1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3" fontId="20" fillId="0" borderId="26" xfId="1" applyNumberFormat="1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3" fontId="20" fillId="0" borderId="31" xfId="1" applyNumberFormat="1" applyFont="1" applyFill="1" applyBorder="1" applyAlignment="1">
      <alignment vertical="center" wrapText="1"/>
    </xf>
    <xf numFmtId="0" fontId="25" fillId="0" borderId="0" xfId="0" applyFont="1"/>
    <xf numFmtId="0" fontId="13" fillId="0" borderId="43" xfId="0" applyFont="1" applyFill="1" applyBorder="1" applyAlignment="1">
      <alignment horizontal="center" vertical="center" wrapText="1"/>
    </xf>
    <xf numFmtId="0" fontId="23" fillId="0" borderId="0" xfId="0" applyFont="1" applyFill="1"/>
    <xf numFmtId="3" fontId="10" fillId="9" borderId="31" xfId="1" applyNumberFormat="1" applyFont="1" applyFill="1" applyBorder="1" applyAlignment="1">
      <alignment vertical="center" wrapText="1"/>
    </xf>
    <xf numFmtId="49" fontId="12" fillId="9" borderId="26" xfId="0" applyNumberFormat="1" applyFont="1" applyFill="1" applyBorder="1" applyAlignment="1">
      <alignment horizontal="center" vertical="center" wrapText="1" shrinkToFi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6" xfId="1" applyFont="1" applyFill="1" applyBorder="1" applyAlignment="1">
      <alignment horizontal="center" vertical="center" wrapText="1"/>
    </xf>
    <xf numFmtId="0" fontId="26" fillId="0" borderId="0" xfId="0" applyFont="1"/>
    <xf numFmtId="3" fontId="11" fillId="0" borderId="41" xfId="0" applyNumberFormat="1" applyFont="1" applyFill="1" applyBorder="1" applyAlignment="1">
      <alignment vertical="center"/>
    </xf>
    <xf numFmtId="3" fontId="11" fillId="5" borderId="26" xfId="0" applyNumberFormat="1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horizontal="center" vertical="center" wrapText="1" shrinkToFit="1"/>
    </xf>
    <xf numFmtId="3" fontId="7" fillId="6" borderId="2" xfId="1" applyNumberFormat="1" applyFont="1" applyFill="1" applyBorder="1" applyAlignment="1">
      <alignment vertical="center" wrapText="1"/>
    </xf>
    <xf numFmtId="3" fontId="5" fillId="0" borderId="50" xfId="0" applyNumberFormat="1" applyFont="1" applyFill="1" applyBorder="1" applyAlignment="1">
      <alignment vertical="center"/>
    </xf>
    <xf numFmtId="3" fontId="10" fillId="0" borderId="34" xfId="1" applyNumberFormat="1" applyFont="1" applyFill="1" applyBorder="1" applyAlignment="1">
      <alignment vertical="center" wrapText="1"/>
    </xf>
    <xf numFmtId="0" fontId="23" fillId="0" borderId="0" xfId="0" applyFont="1"/>
    <xf numFmtId="3" fontId="5" fillId="5" borderId="26" xfId="0" applyNumberFormat="1" applyFont="1" applyFill="1" applyBorder="1" applyAlignment="1">
      <alignment vertical="center" wrapText="1"/>
    </xf>
    <xf numFmtId="3" fontId="11" fillId="0" borderId="41" xfId="0" applyNumberFormat="1" applyFont="1" applyFill="1" applyBorder="1" applyAlignment="1">
      <alignment vertical="center" wrapText="1"/>
    </xf>
    <xf numFmtId="3" fontId="5" fillId="5" borderId="23" xfId="0" applyNumberFormat="1" applyFont="1" applyFill="1" applyBorder="1" applyAlignment="1">
      <alignment vertical="center" wrapText="1"/>
    </xf>
    <xf numFmtId="3" fontId="7" fillId="9" borderId="31" xfId="1" applyNumberFormat="1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3" fontId="7" fillId="9" borderId="4" xfId="1" applyNumberFormat="1" applyFont="1" applyFill="1" applyBorder="1" applyAlignment="1">
      <alignment vertical="center" wrapText="1"/>
    </xf>
    <xf numFmtId="3" fontId="10" fillId="0" borderId="25" xfId="1" applyNumberFormat="1" applyFont="1" applyFill="1" applyBorder="1" applyAlignment="1">
      <alignment vertical="center" wrapText="1"/>
    </xf>
    <xf numFmtId="0" fontId="0" fillId="0" borderId="14" xfId="0" applyBorder="1"/>
    <xf numFmtId="0" fontId="0" fillId="0" borderId="16" xfId="0" applyBorder="1"/>
    <xf numFmtId="3" fontId="7" fillId="9" borderId="31" xfId="1" applyNumberFormat="1" applyFont="1" applyFill="1" applyBorder="1" applyAlignment="1">
      <alignment horizontal="right" vertical="center" wrapText="1"/>
    </xf>
    <xf numFmtId="3" fontId="5" fillId="0" borderId="48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vertical="center" wrapText="1"/>
    </xf>
    <xf numFmtId="3" fontId="5" fillId="5" borderId="14" xfId="0" applyNumberFormat="1" applyFont="1" applyFill="1" applyBorder="1" applyAlignment="1">
      <alignment vertical="center" wrapText="1"/>
    </xf>
    <xf numFmtId="3" fontId="12" fillId="0" borderId="15" xfId="1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 wrapText="1" shrinkToFit="1"/>
    </xf>
    <xf numFmtId="3" fontId="12" fillId="0" borderId="31" xfId="1" applyNumberFormat="1" applyFont="1" applyBorder="1" applyAlignment="1">
      <alignment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3" fontId="20" fillId="0" borderId="31" xfId="0" applyNumberFormat="1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vertical="center" wrapText="1"/>
    </xf>
    <xf numFmtId="0" fontId="7" fillId="7" borderId="14" xfId="1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3" fontId="5" fillId="0" borderId="26" xfId="1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Fill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5" fillId="5" borderId="37" xfId="3" applyNumberFormat="1" applyFont="1" applyFill="1" applyBorder="1" applyAlignment="1">
      <alignment vertical="center"/>
    </xf>
    <xf numFmtId="3" fontId="12" fillId="10" borderId="26" xfId="1" applyNumberFormat="1" applyFont="1" applyFill="1" applyBorder="1" applyAlignment="1">
      <alignment vertical="center" wrapText="1"/>
    </xf>
    <xf numFmtId="3" fontId="5" fillId="0" borderId="26" xfId="3" applyNumberFormat="1" applyFont="1" applyBorder="1" applyAlignment="1">
      <alignment vertical="center"/>
    </xf>
    <xf numFmtId="3" fontId="11" fillId="3" borderId="37" xfId="3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3" fontId="11" fillId="0" borderId="15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43" xfId="0" applyNumberFormat="1" applyFont="1" applyFill="1" applyBorder="1" applyAlignment="1">
      <alignment horizontal="right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3" fontId="5" fillId="4" borderId="50" xfId="0" applyNumberFormat="1" applyFont="1" applyFill="1" applyBorder="1" applyAlignment="1">
      <alignment vertical="center"/>
    </xf>
    <xf numFmtId="3" fontId="5" fillId="4" borderId="26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vertical="center"/>
    </xf>
    <xf numFmtId="3" fontId="5" fillId="5" borderId="13" xfId="0" applyNumberFormat="1" applyFont="1" applyFill="1" applyBorder="1" applyAlignment="1">
      <alignment vertical="center"/>
    </xf>
    <xf numFmtId="3" fontId="5" fillId="5" borderId="50" xfId="0" applyNumberFormat="1" applyFont="1" applyFill="1" applyBorder="1" applyAlignment="1">
      <alignment vertical="center"/>
    </xf>
    <xf numFmtId="3" fontId="7" fillId="5" borderId="11" xfId="0" applyNumberFormat="1" applyFont="1" applyFill="1" applyBorder="1" applyAlignment="1">
      <alignment vertical="center" wrapText="1"/>
    </xf>
    <xf numFmtId="3" fontId="5" fillId="5" borderId="35" xfId="0" applyNumberFormat="1" applyFont="1" applyFill="1" applyBorder="1" applyAlignment="1">
      <alignment vertical="center" wrapText="1"/>
    </xf>
    <xf numFmtId="0" fontId="0" fillId="0" borderId="0" xfId="0" applyFill="1"/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 shrinkToFit="1"/>
    </xf>
    <xf numFmtId="0" fontId="9" fillId="0" borderId="26" xfId="1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vertical="center" wrapText="1"/>
    </xf>
    <xf numFmtId="3" fontId="9" fillId="0" borderId="40" xfId="0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3" fontId="5" fillId="4" borderId="14" xfId="0" applyNumberFormat="1" applyFont="1" applyFill="1" applyBorder="1" applyAlignment="1">
      <alignment vertical="center" wrapText="1"/>
    </xf>
    <xf numFmtId="0" fontId="28" fillId="0" borderId="0" xfId="0" applyFont="1"/>
    <xf numFmtId="4" fontId="7" fillId="12" borderId="14" xfId="0" applyNumberFormat="1" applyFont="1" applyFill="1" applyBorder="1" applyAlignment="1">
      <alignment horizontal="center" vertical="center" wrapText="1"/>
    </xf>
    <xf numFmtId="3" fontId="11" fillId="0" borderId="60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vertical="center"/>
    </xf>
    <xf numFmtId="4" fontId="7" fillId="12" borderId="16" xfId="0" applyNumberFormat="1" applyFont="1" applyFill="1" applyBorder="1" applyAlignment="1">
      <alignment horizontal="center" vertical="center" wrapText="1"/>
    </xf>
    <xf numFmtId="4" fontId="7" fillId="12" borderId="53" xfId="0" applyNumberFormat="1" applyFont="1" applyFill="1" applyBorder="1" applyAlignment="1">
      <alignment horizontal="center" vertical="center" wrapText="1"/>
    </xf>
    <xf numFmtId="4" fontId="7" fillId="7" borderId="53" xfId="0" applyNumberFormat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4" fontId="8" fillId="7" borderId="6" xfId="1" applyNumberFormat="1" applyFont="1" applyFill="1" applyBorder="1" applyAlignment="1">
      <alignment horizontal="center" vertical="center" wrapText="1"/>
    </xf>
    <xf numFmtId="4" fontId="5" fillId="7" borderId="18" xfId="1" applyNumberFormat="1" applyFont="1" applyFill="1" applyBorder="1" applyAlignment="1">
      <alignment horizontal="center" vertical="center" wrapText="1"/>
    </xf>
    <xf numFmtId="3" fontId="7" fillId="9" borderId="2" xfId="1" applyNumberFormat="1" applyFont="1" applyFill="1" applyBorder="1" applyAlignment="1">
      <alignment vertical="center" wrapText="1"/>
    </xf>
    <xf numFmtId="3" fontId="7" fillId="9" borderId="26" xfId="1" applyNumberFormat="1" applyFont="1" applyFill="1" applyBorder="1" applyAlignment="1">
      <alignment vertical="center" wrapText="1"/>
    </xf>
    <xf numFmtId="3" fontId="7" fillId="9" borderId="25" xfId="1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5" fillId="7" borderId="30" xfId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0" fillId="0" borderId="30" xfId="0" applyBorder="1"/>
    <xf numFmtId="0" fontId="9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3" fontId="9" fillId="0" borderId="59" xfId="0" applyNumberFormat="1" applyFont="1" applyFill="1" applyBorder="1" applyAlignment="1">
      <alignment vertical="center" wrapText="1"/>
    </xf>
    <xf numFmtId="3" fontId="9" fillId="0" borderId="48" xfId="0" applyNumberFormat="1" applyFont="1" applyFill="1" applyBorder="1" applyAlignment="1">
      <alignment vertical="center" wrapText="1"/>
    </xf>
    <xf numFmtId="3" fontId="9" fillId="5" borderId="2" xfId="0" applyNumberFormat="1" applyFont="1" applyFill="1" applyBorder="1" applyAlignment="1">
      <alignment vertical="center" wrapText="1"/>
    </xf>
    <xf numFmtId="3" fontId="10" fillId="4" borderId="23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 shrinkToFit="1"/>
    </xf>
    <xf numFmtId="0" fontId="14" fillId="0" borderId="31" xfId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3" fontId="15" fillId="0" borderId="23" xfId="1" applyNumberFormat="1" applyFont="1" applyFill="1" applyBorder="1" applyAlignment="1">
      <alignment vertical="center" wrapText="1"/>
    </xf>
    <xf numFmtId="3" fontId="14" fillId="0" borderId="45" xfId="0" applyNumberFormat="1" applyFont="1" applyFill="1" applyBorder="1" applyAlignment="1">
      <alignment vertical="center" wrapText="1"/>
    </xf>
    <xf numFmtId="3" fontId="14" fillId="0" borderId="20" xfId="0" applyNumberFormat="1" applyFont="1" applyFill="1" applyBorder="1" applyAlignment="1">
      <alignment vertical="center" wrapText="1"/>
    </xf>
    <xf numFmtId="3" fontId="14" fillId="0" borderId="41" xfId="0" applyNumberFormat="1" applyFont="1" applyFill="1" applyBorder="1" applyAlignment="1">
      <alignment vertical="center" wrapText="1"/>
    </xf>
    <xf numFmtId="3" fontId="14" fillId="5" borderId="26" xfId="0" applyNumberFormat="1" applyFont="1" applyFill="1" applyBorder="1" applyAlignment="1">
      <alignment vertical="center" wrapText="1"/>
    </xf>
    <xf numFmtId="3" fontId="15" fillId="4" borderId="26" xfId="0" applyNumberFormat="1" applyFont="1" applyFill="1" applyBorder="1" applyAlignment="1">
      <alignment vertical="center" wrapText="1"/>
    </xf>
    <xf numFmtId="3" fontId="15" fillId="5" borderId="32" xfId="0" applyNumberFormat="1" applyFont="1" applyFill="1" applyBorder="1" applyAlignment="1">
      <alignment vertical="center" wrapText="1"/>
    </xf>
    <xf numFmtId="3" fontId="14" fillId="0" borderId="37" xfId="0" applyNumberFormat="1" applyFont="1" applyFill="1" applyBorder="1" applyAlignment="1">
      <alignment vertical="center" wrapText="1"/>
    </xf>
    <xf numFmtId="3" fontId="14" fillId="0" borderId="32" xfId="0" applyNumberFormat="1" applyFont="1" applyFill="1" applyBorder="1" applyAlignment="1">
      <alignment vertical="center" wrapText="1"/>
    </xf>
    <xf numFmtId="3" fontId="14" fillId="0" borderId="26" xfId="0" applyNumberFormat="1" applyFont="1" applyFill="1" applyBorder="1" applyAlignment="1">
      <alignment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" fillId="0" borderId="3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3" fontId="10" fillId="0" borderId="9" xfId="1" applyNumberFormat="1" applyFont="1" applyFill="1" applyBorder="1" applyAlignment="1">
      <alignment vertical="center" wrapText="1"/>
    </xf>
    <xf numFmtId="3" fontId="10" fillId="0" borderId="2" xfId="1" applyNumberFormat="1" applyFont="1" applyFill="1" applyBorder="1" applyAlignment="1">
      <alignment vertical="center" wrapText="1"/>
    </xf>
    <xf numFmtId="3" fontId="10" fillId="5" borderId="9" xfId="0" applyNumberFormat="1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 shrinkToFit="1"/>
    </xf>
    <xf numFmtId="0" fontId="29" fillId="0" borderId="26" xfId="0" applyFont="1" applyFill="1" applyBorder="1" applyAlignment="1">
      <alignment horizontal="center" vertical="center" wrapText="1"/>
    </xf>
    <xf numFmtId="3" fontId="10" fillId="0" borderId="32" xfId="1" applyNumberFormat="1" applyFont="1" applyFill="1" applyBorder="1" applyAlignment="1">
      <alignment vertical="center" wrapText="1"/>
    </xf>
    <xf numFmtId="3" fontId="9" fillId="0" borderId="45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 wrapText="1"/>
    </xf>
    <xf numFmtId="3" fontId="9" fillId="0" borderId="41" xfId="0" applyNumberFormat="1" applyFont="1" applyFill="1" applyBorder="1" applyAlignment="1">
      <alignment vertical="center" wrapText="1"/>
    </xf>
    <xf numFmtId="3" fontId="9" fillId="5" borderId="26" xfId="0" applyNumberFormat="1" applyFont="1" applyFill="1" applyBorder="1" applyAlignment="1">
      <alignment vertical="center" wrapText="1"/>
    </xf>
    <xf numFmtId="3" fontId="10" fillId="4" borderId="26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3" fontId="15" fillId="0" borderId="43" xfId="1" applyNumberFormat="1" applyFont="1" applyFill="1" applyBorder="1" applyAlignment="1">
      <alignment vertical="center" wrapText="1"/>
    </xf>
    <xf numFmtId="3" fontId="15" fillId="0" borderId="13" xfId="1" applyNumberFormat="1" applyFont="1" applyFill="1" applyBorder="1" applyAlignment="1">
      <alignment vertical="center" wrapText="1"/>
    </xf>
    <xf numFmtId="3" fontId="14" fillId="5" borderId="13" xfId="0" applyNumberFormat="1" applyFont="1" applyFill="1" applyBorder="1" applyAlignment="1">
      <alignment vertical="center" wrapText="1"/>
    </xf>
    <xf numFmtId="3" fontId="15" fillId="4" borderId="13" xfId="0" applyNumberFormat="1" applyFont="1" applyFill="1" applyBorder="1" applyAlignment="1">
      <alignment vertical="center" wrapText="1"/>
    </xf>
    <xf numFmtId="3" fontId="15" fillId="5" borderId="43" xfId="0" applyNumberFormat="1" applyFont="1" applyFill="1" applyBorder="1" applyAlignment="1">
      <alignment vertical="center" wrapText="1"/>
    </xf>
    <xf numFmtId="3" fontId="14" fillId="0" borderId="19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3" fontId="15" fillId="0" borderId="43" xfId="0" applyNumberFormat="1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3" fontId="15" fillId="0" borderId="6" xfId="1" applyNumberFormat="1" applyFont="1" applyFill="1" applyBorder="1" applyAlignment="1">
      <alignment vertical="center" wrapText="1"/>
    </xf>
    <xf numFmtId="3" fontId="15" fillId="0" borderId="18" xfId="1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3" fontId="14" fillId="5" borderId="18" xfId="0" applyNumberFormat="1" applyFont="1" applyFill="1" applyBorder="1" applyAlignment="1">
      <alignment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5" fillId="5" borderId="6" xfId="0" applyNumberFormat="1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7" fillId="6" borderId="23" xfId="0" applyNumberFormat="1" applyFont="1" applyFill="1" applyBorder="1" applyAlignment="1">
      <alignment horizontal="center" vertical="center" wrapText="1"/>
    </xf>
    <xf numFmtId="49" fontId="7" fillId="6" borderId="24" xfId="0" applyNumberFormat="1" applyFont="1" applyFill="1" applyBorder="1" applyAlignment="1">
      <alignment horizontal="center" vertical="center" wrapText="1" shrinkToFit="1"/>
    </xf>
    <xf numFmtId="0" fontId="5" fillId="6" borderId="25" xfId="0" applyFont="1" applyFill="1" applyBorder="1" applyAlignment="1">
      <alignment horizontal="center" vertical="center" wrapText="1"/>
    </xf>
    <xf numFmtId="3" fontId="7" fillId="6" borderId="23" xfId="1" applyNumberFormat="1" applyFont="1" applyFill="1" applyBorder="1" applyAlignment="1">
      <alignment vertical="center" wrapText="1"/>
    </xf>
    <xf numFmtId="3" fontId="5" fillId="6" borderId="55" xfId="0" applyNumberFormat="1" applyFont="1" applyFill="1" applyBorder="1" applyAlignment="1">
      <alignment vertical="center"/>
    </xf>
    <xf numFmtId="3" fontId="5" fillId="6" borderId="49" xfId="0" applyNumberFormat="1" applyFont="1" applyFill="1" applyBorder="1" applyAlignment="1">
      <alignment vertical="center" wrapText="1"/>
    </xf>
    <xf numFmtId="3" fontId="5" fillId="6" borderId="23" xfId="0" applyNumberFormat="1" applyFont="1" applyFill="1" applyBorder="1" applyAlignment="1">
      <alignment vertical="center" wrapText="1"/>
    </xf>
    <xf numFmtId="3" fontId="7" fillId="6" borderId="23" xfId="0" applyNumberFormat="1" applyFont="1" applyFill="1" applyBorder="1" applyAlignment="1">
      <alignment vertical="center" wrapText="1"/>
    </xf>
    <xf numFmtId="3" fontId="7" fillId="6" borderId="24" xfId="0" applyNumberFormat="1" applyFont="1" applyFill="1" applyBorder="1" applyAlignment="1">
      <alignment vertical="center" wrapText="1"/>
    </xf>
    <xf numFmtId="3" fontId="5" fillId="6" borderId="27" xfId="0" applyNumberFormat="1" applyFont="1" applyFill="1" applyBorder="1" applyAlignment="1">
      <alignment vertical="center" wrapText="1"/>
    </xf>
    <xf numFmtId="49" fontId="5" fillId="6" borderId="25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3" fontId="5" fillId="0" borderId="37" xfId="1" applyNumberFormat="1" applyFont="1" applyFill="1" applyBorder="1" applyAlignment="1">
      <alignment vertical="center" wrapText="1"/>
    </xf>
    <xf numFmtId="0" fontId="6" fillId="6" borderId="41" xfId="0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 wrapText="1"/>
    </xf>
    <xf numFmtId="3" fontId="10" fillId="4" borderId="26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 shrinkToFit="1"/>
    </xf>
    <xf numFmtId="0" fontId="14" fillId="0" borderId="35" xfId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vertical="center" wrapText="1"/>
    </xf>
    <xf numFmtId="3" fontId="14" fillId="0" borderId="33" xfId="0" applyNumberFormat="1" applyFont="1" applyFill="1" applyBorder="1" applyAlignment="1">
      <alignment vertical="center" wrapText="1"/>
    </xf>
    <xf numFmtId="3" fontId="14" fillId="0" borderId="35" xfId="0" applyNumberFormat="1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29" fillId="0" borderId="34" xfId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vertical="center" wrapText="1"/>
    </xf>
    <xf numFmtId="3" fontId="9" fillId="0" borderId="33" xfId="0" applyNumberFormat="1" applyFont="1" applyFill="1" applyBorder="1" applyAlignment="1">
      <alignment vertical="center" wrapText="1"/>
    </xf>
    <xf numFmtId="3" fontId="9" fillId="0" borderId="35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3" fontId="12" fillId="0" borderId="15" xfId="1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11" fillId="5" borderId="13" xfId="0" applyNumberFormat="1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center" vertical="center" wrapText="1"/>
    </xf>
    <xf numFmtId="3" fontId="10" fillId="0" borderId="37" xfId="1" applyNumberFormat="1" applyFont="1" applyFill="1" applyBorder="1" applyAlignment="1">
      <alignment vertical="center" wrapText="1"/>
    </xf>
    <xf numFmtId="3" fontId="9" fillId="0" borderId="41" xfId="0" applyNumberFormat="1" applyFont="1" applyFill="1" applyBorder="1" applyAlignment="1">
      <alignment vertical="center"/>
    </xf>
    <xf numFmtId="3" fontId="9" fillId="5" borderId="26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 wrapText="1"/>
    </xf>
    <xf numFmtId="3" fontId="7" fillId="4" borderId="37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10" fillId="4" borderId="37" xfId="0" applyNumberFormat="1" applyFont="1" applyFill="1" applyBorder="1" applyAlignment="1">
      <alignment vertical="center" wrapText="1"/>
    </xf>
    <xf numFmtId="3" fontId="10" fillId="5" borderId="26" xfId="0" applyNumberFormat="1" applyFont="1" applyFill="1" applyBorder="1" applyAlignment="1">
      <alignment vertical="center" wrapText="1"/>
    </xf>
    <xf numFmtId="3" fontId="9" fillId="0" borderId="37" xfId="1" applyNumberFormat="1" applyFont="1" applyFill="1" applyBorder="1" applyAlignment="1">
      <alignment vertical="center" wrapText="1"/>
    </xf>
    <xf numFmtId="3" fontId="9" fillId="0" borderId="26" xfId="1" applyNumberFormat="1" applyFont="1" applyFill="1" applyBorder="1" applyAlignment="1">
      <alignment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vertical="center"/>
    </xf>
    <xf numFmtId="3" fontId="7" fillId="4" borderId="19" xfId="0" applyNumberFormat="1" applyFont="1" applyFill="1" applyBorder="1" applyAlignment="1">
      <alignment vertical="center" wrapText="1"/>
    </xf>
    <xf numFmtId="3" fontId="5" fillId="0" borderId="19" xfId="1" applyNumberFormat="1" applyFont="1" applyFill="1" applyBorder="1" applyAlignment="1">
      <alignment vertical="center" wrapText="1"/>
    </xf>
    <xf numFmtId="3" fontId="5" fillId="0" borderId="13" xfId="1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7" fillId="6" borderId="23" xfId="0" applyNumberFormat="1" applyFont="1" applyFill="1" applyBorder="1" applyAlignment="1">
      <alignment horizontal="center" vertical="center" wrapText="1" shrinkToFit="1"/>
    </xf>
    <xf numFmtId="0" fontId="5" fillId="6" borderId="24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3" fontId="5" fillId="6" borderId="44" xfId="0" applyNumberFormat="1" applyFont="1" applyFill="1" applyBorder="1" applyAlignment="1">
      <alignment vertical="center"/>
    </xf>
    <xf numFmtId="3" fontId="5" fillId="6" borderId="27" xfId="0" applyNumberFormat="1" applyFont="1" applyFill="1" applyBorder="1" applyAlignment="1">
      <alignment vertical="center"/>
    </xf>
    <xf numFmtId="3" fontId="7" fillId="6" borderId="27" xfId="0" applyNumberFormat="1" applyFont="1" applyFill="1" applyBorder="1" applyAlignment="1">
      <alignment vertical="center" wrapText="1"/>
    </xf>
    <xf numFmtId="3" fontId="5" fillId="6" borderId="23" xfId="1" applyNumberFormat="1" applyFont="1" applyFill="1" applyBorder="1" applyAlignment="1">
      <alignment vertical="center" wrapText="1"/>
    </xf>
    <xf numFmtId="0" fontId="5" fillId="6" borderId="31" xfId="0" applyFont="1" applyFill="1" applyBorder="1" applyAlignment="1">
      <alignment horizontal="center" vertical="center" wrapText="1"/>
    </xf>
    <xf numFmtId="49" fontId="5" fillId="6" borderId="27" xfId="0" applyNumberFormat="1" applyFont="1" applyFill="1" applyBorder="1" applyAlignment="1">
      <alignment horizontal="center" vertical="center" wrapText="1"/>
    </xf>
    <xf numFmtId="49" fontId="5" fillId="6" borderId="23" xfId="0" applyNumberFormat="1" applyFont="1" applyFill="1" applyBorder="1" applyAlignment="1">
      <alignment horizontal="center" vertical="center" wrapText="1"/>
    </xf>
    <xf numFmtId="49" fontId="5" fillId="6" borderId="24" xfId="0" applyNumberFormat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 wrapText="1" shrinkToFit="1"/>
    </xf>
    <xf numFmtId="0" fontId="5" fillId="6" borderId="32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3" fontId="5" fillId="6" borderId="45" xfId="0" applyNumberFormat="1" applyFont="1" applyFill="1" applyBorder="1" applyAlignment="1">
      <alignment vertical="center" wrapText="1"/>
    </xf>
    <xf numFmtId="3" fontId="5" fillId="6" borderId="40" xfId="0" applyNumberFormat="1" applyFont="1" applyFill="1" applyBorder="1" applyAlignment="1">
      <alignment vertical="center"/>
    </xf>
    <xf numFmtId="3" fontId="5" fillId="6" borderId="37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 wrapText="1"/>
    </xf>
    <xf numFmtId="3" fontId="7" fillId="6" borderId="37" xfId="0" applyNumberFormat="1" applyFont="1" applyFill="1" applyBorder="1" applyAlignment="1">
      <alignment vertical="center" wrapText="1"/>
    </xf>
    <xf numFmtId="3" fontId="5" fillId="6" borderId="26" xfId="0" applyNumberFormat="1" applyFont="1" applyFill="1" applyBorder="1" applyAlignment="1">
      <alignment vertical="center" wrapText="1"/>
    </xf>
    <xf numFmtId="3" fontId="5" fillId="6" borderId="37" xfId="0" applyNumberFormat="1" applyFont="1" applyFill="1" applyBorder="1" applyAlignment="1">
      <alignment vertical="center" wrapText="1"/>
    </xf>
    <xf numFmtId="3" fontId="5" fillId="6" borderId="41" xfId="0" applyNumberFormat="1" applyFont="1" applyFill="1" applyBorder="1" applyAlignment="1">
      <alignment vertical="center" wrapText="1"/>
    </xf>
    <xf numFmtId="3" fontId="5" fillId="6" borderId="26" xfId="1" applyNumberFormat="1" applyFont="1" applyFill="1" applyBorder="1" applyAlignment="1">
      <alignment vertical="center" wrapText="1"/>
    </xf>
    <xf numFmtId="49" fontId="5" fillId="6" borderId="37" xfId="0" applyNumberFormat="1" applyFont="1" applyFill="1" applyBorder="1" applyAlignment="1">
      <alignment horizontal="center" vertical="center" wrapText="1"/>
    </xf>
    <xf numFmtId="49" fontId="5" fillId="6" borderId="26" xfId="0" applyNumberFormat="1" applyFont="1" applyFill="1" applyBorder="1" applyAlignment="1">
      <alignment horizontal="center" vertical="center" wrapText="1"/>
    </xf>
    <xf numFmtId="49" fontId="5" fillId="6" borderId="32" xfId="0" applyNumberFormat="1" applyFont="1" applyFill="1" applyBorder="1" applyAlignment="1">
      <alignment horizontal="center" vertical="center" wrapText="1"/>
    </xf>
    <xf numFmtId="3" fontId="5" fillId="6" borderId="37" xfId="1" applyNumberFormat="1" applyFont="1" applyFill="1" applyBorder="1" applyAlignment="1">
      <alignment vertical="center" wrapText="1"/>
    </xf>
    <xf numFmtId="3" fontId="5" fillId="6" borderId="26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15" fillId="0" borderId="26" xfId="1" applyNumberFormat="1" applyFont="1" applyBorder="1" applyAlignment="1">
      <alignment vertical="center" wrapText="1"/>
    </xf>
    <xf numFmtId="3" fontId="20" fillId="0" borderId="22" xfId="1" applyNumberFormat="1" applyFont="1" applyBorder="1" applyAlignment="1">
      <alignment vertical="center" wrapText="1"/>
    </xf>
    <xf numFmtId="3" fontId="20" fillId="0" borderId="26" xfId="1" applyNumberFormat="1" applyFont="1" applyBorder="1" applyAlignment="1">
      <alignment vertical="center" wrapText="1"/>
    </xf>
    <xf numFmtId="3" fontId="20" fillId="4" borderId="26" xfId="0" applyNumberFormat="1" applyFont="1" applyFill="1" applyBorder="1" applyAlignment="1">
      <alignment vertical="center" wrapText="1"/>
    </xf>
    <xf numFmtId="49" fontId="7" fillId="14" borderId="23" xfId="0" applyNumberFormat="1" applyFont="1" applyFill="1" applyBorder="1" applyAlignment="1">
      <alignment horizontal="center" vertical="center" wrapText="1"/>
    </xf>
    <xf numFmtId="49" fontId="5" fillId="14" borderId="23" xfId="0" applyNumberFormat="1" applyFont="1" applyFill="1" applyBorder="1" applyAlignment="1">
      <alignment horizontal="center" vertical="center" wrapText="1" shrinkToFit="1"/>
    </xf>
    <xf numFmtId="0" fontId="5" fillId="14" borderId="23" xfId="0" applyFont="1" applyFill="1" applyBorder="1" applyAlignment="1">
      <alignment horizontal="center" vertical="center" wrapText="1"/>
    </xf>
    <xf numFmtId="0" fontId="5" fillId="14" borderId="23" xfId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3" fontId="7" fillId="14" borderId="23" xfId="1" applyNumberFormat="1" applyFont="1" applyFill="1" applyBorder="1" applyAlignment="1">
      <alignment vertical="center" wrapText="1"/>
    </xf>
    <xf numFmtId="3" fontId="5" fillId="14" borderId="27" xfId="0" applyNumberFormat="1" applyFont="1" applyFill="1" applyBorder="1" applyAlignment="1">
      <alignment vertical="center" wrapText="1"/>
    </xf>
    <xf numFmtId="3" fontId="7" fillId="14" borderId="23" xfId="0" applyNumberFormat="1" applyFont="1" applyFill="1" applyBorder="1" applyAlignment="1">
      <alignment vertical="center" wrapText="1"/>
    </xf>
    <xf numFmtId="3" fontId="7" fillId="14" borderId="24" xfId="0" applyNumberFormat="1" applyFont="1" applyFill="1" applyBorder="1" applyAlignment="1">
      <alignment vertical="center" wrapText="1"/>
    </xf>
    <xf numFmtId="3" fontId="5" fillId="14" borderId="25" xfId="0" applyNumberFormat="1" applyFont="1" applyFill="1" applyBorder="1" applyAlignment="1">
      <alignment vertical="center" wrapText="1"/>
    </xf>
    <xf numFmtId="3" fontId="5" fillId="14" borderId="23" xfId="0" applyNumberFormat="1" applyFont="1" applyFill="1" applyBorder="1" applyAlignment="1">
      <alignment vertical="center" wrapText="1"/>
    </xf>
    <xf numFmtId="3" fontId="5" fillId="14" borderId="24" xfId="0" applyNumberFormat="1" applyFont="1" applyFill="1" applyBorder="1" applyAlignment="1">
      <alignment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3" fontId="5" fillId="14" borderId="51" xfId="0" applyNumberFormat="1" applyFont="1" applyFill="1" applyBorder="1" applyAlignment="1">
      <alignment vertical="center" wrapText="1"/>
    </xf>
    <xf numFmtId="49" fontId="5" fillId="14" borderId="23" xfId="0" applyNumberFormat="1" applyFont="1" applyFill="1" applyBorder="1" applyAlignment="1">
      <alignment horizontal="center" vertical="center"/>
    </xf>
    <xf numFmtId="3" fontId="20" fillId="0" borderId="13" xfId="1" applyNumberFormat="1" applyFont="1" applyBorder="1" applyAlignment="1">
      <alignment vertical="center" wrapText="1"/>
    </xf>
    <xf numFmtId="3" fontId="20" fillId="4" borderId="13" xfId="0" applyNumberFormat="1" applyFont="1" applyFill="1" applyBorder="1" applyAlignment="1">
      <alignment vertical="center" wrapText="1"/>
    </xf>
    <xf numFmtId="3" fontId="9" fillId="5" borderId="37" xfId="0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49" fontId="7" fillId="9" borderId="33" xfId="0" applyNumberFormat="1" applyFont="1" applyFill="1" applyBorder="1" applyAlignment="1">
      <alignment horizontal="center" vertical="center" wrapText="1"/>
    </xf>
    <xf numFmtId="49" fontId="7" fillId="9" borderId="26" xfId="0" applyNumberFormat="1" applyFont="1" applyFill="1" applyBorder="1" applyAlignment="1">
      <alignment horizontal="center" vertical="center" wrapText="1" shrinkToFi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9" borderId="32" xfId="1" applyFont="1" applyFill="1" applyBorder="1" applyAlignment="1">
      <alignment horizontal="center" vertical="center" wrapText="1"/>
    </xf>
    <xf numFmtId="0" fontId="6" fillId="9" borderId="31" xfId="1" applyFont="1" applyFill="1" applyBorder="1" applyAlignment="1">
      <alignment horizontal="center" vertical="center" wrapText="1"/>
    </xf>
    <xf numFmtId="3" fontId="7" fillId="9" borderId="33" xfId="1" applyNumberFormat="1" applyFont="1" applyFill="1" applyBorder="1" applyAlignment="1">
      <alignment vertical="center" wrapText="1"/>
    </xf>
    <xf numFmtId="3" fontId="5" fillId="9" borderId="45" xfId="0" applyNumberFormat="1" applyFont="1" applyFill="1" applyBorder="1" applyAlignment="1">
      <alignment vertical="center" wrapText="1"/>
    </xf>
    <xf numFmtId="3" fontId="5" fillId="9" borderId="40" xfId="0" applyNumberFormat="1" applyFont="1" applyFill="1" applyBorder="1" applyAlignment="1">
      <alignment vertical="center" wrapText="1"/>
    </xf>
    <xf numFmtId="3" fontId="5" fillId="9" borderId="37" xfId="0" applyNumberFormat="1" applyFont="1" applyFill="1" applyBorder="1" applyAlignment="1">
      <alignment vertical="center" wrapText="1"/>
    </xf>
    <xf numFmtId="3" fontId="7" fillId="9" borderId="26" xfId="0" applyNumberFormat="1" applyFont="1" applyFill="1" applyBorder="1" applyAlignment="1">
      <alignment vertical="center" wrapText="1"/>
    </xf>
    <xf numFmtId="3" fontId="7" fillId="9" borderId="32" xfId="0" applyNumberFormat="1" applyFont="1" applyFill="1" applyBorder="1" applyAlignment="1">
      <alignment vertical="center" wrapText="1"/>
    </xf>
    <xf numFmtId="3" fontId="7" fillId="9" borderId="34" xfId="0" applyNumberFormat="1" applyFont="1" applyFill="1" applyBorder="1" applyAlignment="1">
      <alignment vertical="center" wrapText="1"/>
    </xf>
    <xf numFmtId="3" fontId="7" fillId="9" borderId="33" xfId="0" applyNumberFormat="1" applyFont="1" applyFill="1" applyBorder="1" applyAlignment="1">
      <alignment vertical="center" wrapText="1"/>
    </xf>
    <xf numFmtId="3" fontId="5" fillId="9" borderId="33" xfId="0" applyNumberFormat="1" applyFont="1" applyFill="1" applyBorder="1" applyAlignment="1">
      <alignment vertical="center" wrapText="1"/>
    </xf>
    <xf numFmtId="3" fontId="5" fillId="9" borderId="47" xfId="0" applyNumberFormat="1" applyFont="1" applyFill="1" applyBorder="1" applyAlignment="1">
      <alignment vertical="center" wrapText="1"/>
    </xf>
    <xf numFmtId="3" fontId="5" fillId="9" borderId="35" xfId="0" applyNumberFormat="1" applyFont="1" applyFill="1" applyBorder="1" applyAlignment="1">
      <alignment vertical="center" wrapText="1"/>
    </xf>
    <xf numFmtId="3" fontId="5" fillId="9" borderId="35" xfId="0" applyNumberFormat="1" applyFont="1" applyFill="1" applyBorder="1" applyAlignment="1">
      <alignment horizontal="right" vertical="center" wrapText="1"/>
    </xf>
    <xf numFmtId="3" fontId="5" fillId="9" borderId="32" xfId="0" applyNumberFormat="1" applyFont="1" applyFill="1" applyBorder="1" applyAlignment="1">
      <alignment horizontal="right" vertical="center" wrapText="1"/>
    </xf>
    <xf numFmtId="49" fontId="5" fillId="9" borderId="31" xfId="0" applyNumberFormat="1" applyFont="1" applyFill="1" applyBorder="1" applyAlignment="1">
      <alignment horizontal="center" vertical="center" wrapText="1"/>
    </xf>
    <xf numFmtId="49" fontId="5" fillId="9" borderId="26" xfId="0" applyNumberFormat="1" applyFont="1" applyFill="1" applyBorder="1" applyAlignment="1">
      <alignment horizontal="center" vertical="center" wrapText="1"/>
    </xf>
    <xf numFmtId="3" fontId="5" fillId="9" borderId="34" xfId="0" applyNumberFormat="1" applyFont="1" applyFill="1" applyBorder="1" applyAlignment="1">
      <alignment vertical="center" wrapText="1"/>
    </xf>
    <xf numFmtId="0" fontId="29" fillId="0" borderId="31" xfId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 shrinkToFit="1"/>
    </xf>
    <xf numFmtId="0" fontId="13" fillId="0" borderId="35" xfId="1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vertical="center" wrapText="1"/>
    </xf>
    <xf numFmtId="3" fontId="13" fillId="0" borderId="40" xfId="0" applyNumberFormat="1" applyFont="1" applyFill="1" applyBorder="1" applyAlignment="1">
      <alignment vertical="center" wrapText="1"/>
    </xf>
    <xf numFmtId="3" fontId="13" fillId="5" borderId="37" xfId="0" applyNumberFormat="1" applyFont="1" applyFill="1" applyBorder="1" applyAlignment="1">
      <alignment vertical="center" wrapText="1"/>
    </xf>
    <xf numFmtId="3" fontId="20" fillId="5" borderId="32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0" fontId="33" fillId="0" borderId="31" xfId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7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horizontal="center" vertical="center" wrapText="1"/>
    </xf>
    <xf numFmtId="3" fontId="9" fillId="0" borderId="55" xfId="0" applyNumberFormat="1" applyFont="1" applyFill="1" applyBorder="1" applyAlignment="1">
      <alignment vertical="center" wrapText="1"/>
    </xf>
    <xf numFmtId="3" fontId="9" fillId="5" borderId="27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24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6" fillId="6" borderId="31" xfId="1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vertical="center" wrapText="1"/>
    </xf>
    <xf numFmtId="3" fontId="5" fillId="6" borderId="31" xfId="0" applyNumberFormat="1" applyFont="1" applyFill="1" applyBorder="1" applyAlignment="1">
      <alignment vertical="center" wrapText="1"/>
    </xf>
    <xf numFmtId="3" fontId="5" fillId="6" borderId="26" xfId="0" applyNumberFormat="1" applyFont="1" applyFill="1" applyBorder="1" applyAlignment="1">
      <alignment horizontal="right" vertical="center" wrapText="1"/>
    </xf>
    <xf numFmtId="3" fontId="5" fillId="6" borderId="32" xfId="0" applyNumberFormat="1" applyFont="1" applyFill="1" applyBorder="1" applyAlignment="1">
      <alignment horizontal="right" vertical="center" wrapText="1"/>
    </xf>
    <xf numFmtId="0" fontId="5" fillId="6" borderId="27" xfId="0" applyNumberFormat="1" applyFont="1" applyFill="1" applyBorder="1" applyAlignment="1">
      <alignment horizontal="center" vertical="center" wrapText="1"/>
    </xf>
    <xf numFmtId="0" fontId="5" fillId="6" borderId="23" xfId="0" applyNumberFormat="1" applyFont="1" applyFill="1" applyBorder="1" applyAlignment="1">
      <alignment horizontal="center" vertical="center" wrapText="1"/>
    </xf>
    <xf numFmtId="0" fontId="6" fillId="6" borderId="25" xfId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vertical="center" wrapText="1"/>
    </xf>
    <xf numFmtId="3" fontId="5" fillId="6" borderId="51" xfId="0" applyNumberFormat="1" applyFont="1" applyFill="1" applyBorder="1" applyAlignment="1">
      <alignment vertical="center" wrapText="1"/>
    </xf>
    <xf numFmtId="3" fontId="5" fillId="6" borderId="25" xfId="0" applyNumberFormat="1" applyFont="1" applyFill="1" applyBorder="1" applyAlignment="1">
      <alignment vertical="center" wrapText="1"/>
    </xf>
    <xf numFmtId="3" fontId="5" fillId="6" borderId="23" xfId="0" applyNumberFormat="1" applyFont="1" applyFill="1" applyBorder="1" applyAlignment="1">
      <alignment horizontal="right" vertical="center" wrapText="1"/>
    </xf>
    <xf numFmtId="3" fontId="5" fillId="6" borderId="24" xfId="0" applyNumberFormat="1" applyFont="1" applyFill="1" applyBorder="1" applyAlignment="1">
      <alignment horizontal="right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6" borderId="26" xfId="0" applyNumberFormat="1" applyFont="1" applyFill="1" applyBorder="1" applyAlignment="1">
      <alignment horizontal="center" vertical="center" wrapText="1"/>
    </xf>
    <xf numFmtId="3" fontId="14" fillId="5" borderId="37" xfId="0" applyNumberFormat="1" applyFont="1" applyFill="1" applyBorder="1" applyAlignment="1">
      <alignment vertical="center" wrapText="1"/>
    </xf>
    <xf numFmtId="3" fontId="5" fillId="6" borderId="32" xfId="0" applyNumberFormat="1" applyFont="1" applyFill="1" applyBorder="1" applyAlignment="1">
      <alignment vertical="center" wrapText="1"/>
    </xf>
    <xf numFmtId="167" fontId="7" fillId="0" borderId="14" xfId="1" applyNumberFormat="1" applyFont="1" applyFill="1" applyBorder="1" applyAlignment="1">
      <alignment vertical="center" wrapText="1"/>
    </xf>
    <xf numFmtId="0" fontId="5" fillId="6" borderId="23" xfId="1" applyFont="1" applyFill="1" applyBorder="1" applyAlignment="1">
      <alignment horizontal="center" vertical="center"/>
    </xf>
    <xf numFmtId="3" fontId="7" fillId="6" borderId="23" xfId="1" applyNumberFormat="1" applyFont="1" applyFill="1" applyBorder="1" applyAlignment="1">
      <alignment vertical="center"/>
    </xf>
    <xf numFmtId="3" fontId="5" fillId="6" borderId="23" xfId="0" applyNumberFormat="1" applyFont="1" applyFill="1" applyBorder="1" applyAlignment="1">
      <alignment vertical="center"/>
    </xf>
    <xf numFmtId="0" fontId="19" fillId="0" borderId="23" xfId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29" fillId="0" borderId="26" xfId="1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vertical="center"/>
    </xf>
    <xf numFmtId="3" fontId="9" fillId="5" borderId="37" xfId="1" applyNumberFormat="1" applyFont="1" applyFill="1" applyBorder="1" applyAlignment="1">
      <alignment vertical="center"/>
    </xf>
    <xf numFmtId="3" fontId="10" fillId="5" borderId="26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49" fontId="5" fillId="6" borderId="31" xfId="0" applyNumberFormat="1" applyFont="1" applyFill="1" applyBorder="1" applyAlignment="1">
      <alignment horizontal="center" vertical="center"/>
    </xf>
    <xf numFmtId="49" fontId="5" fillId="6" borderId="26" xfId="0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vertical="center" wrapText="1"/>
    </xf>
    <xf numFmtId="3" fontId="9" fillId="5" borderId="8" xfId="1" applyNumberFormat="1" applyFont="1" applyFill="1" applyBorder="1" applyAlignment="1">
      <alignment vertical="center" wrapText="1"/>
    </xf>
    <xf numFmtId="3" fontId="10" fillId="4" borderId="2" xfId="0" applyNumberFormat="1" applyFont="1" applyFill="1" applyBorder="1" applyAlignment="1">
      <alignment vertical="center" wrapText="1"/>
    </xf>
    <xf numFmtId="3" fontId="10" fillId="5" borderId="2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27" fillId="6" borderId="26" xfId="0" applyFont="1" applyFill="1" applyBorder="1" applyAlignment="1">
      <alignment horizontal="center" vertical="center" wrapText="1"/>
    </xf>
    <xf numFmtId="0" fontId="5" fillId="6" borderId="23" xfId="1" applyFill="1" applyBorder="1" applyAlignment="1">
      <alignment horizontal="center" vertical="center"/>
    </xf>
    <xf numFmtId="0" fontId="5" fillId="6" borderId="27" xfId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wrapText="1"/>
    </xf>
    <xf numFmtId="3" fontId="7" fillId="6" borderId="26" xfId="1" applyNumberFormat="1" applyFont="1" applyFill="1" applyBorder="1" applyAlignment="1">
      <alignment vertical="center"/>
    </xf>
    <xf numFmtId="3" fontId="5" fillId="6" borderId="31" xfId="1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5" fillId="6" borderId="31" xfId="0" applyNumberFormat="1" applyFont="1" applyFill="1" applyBorder="1" applyAlignment="1">
      <alignment vertical="center"/>
    </xf>
    <xf numFmtId="3" fontId="5" fillId="6" borderId="32" xfId="0" applyNumberFormat="1" applyFont="1" applyFill="1" applyBorder="1" applyAlignment="1">
      <alignment vertical="center"/>
    </xf>
    <xf numFmtId="3" fontId="5" fillId="6" borderId="26" xfId="0" applyNumberFormat="1" applyFont="1" applyFill="1" applyBorder="1" applyAlignment="1">
      <alignment horizontal="right" vertical="center"/>
    </xf>
    <xf numFmtId="0" fontId="5" fillId="6" borderId="26" xfId="1" applyFill="1" applyBorder="1" applyAlignment="1">
      <alignment horizontal="center" vertical="center" wrapText="1"/>
    </xf>
    <xf numFmtId="0" fontId="5" fillId="6" borderId="37" xfId="1" applyFill="1" applyBorder="1" applyAlignment="1">
      <alignment horizontal="center" vertical="center" wrapText="1"/>
    </xf>
    <xf numFmtId="0" fontId="6" fillId="6" borderId="26" xfId="1" applyFont="1" applyFill="1" applyBorder="1" applyAlignment="1">
      <alignment horizontal="center" vertical="center" wrapText="1"/>
    </xf>
    <xf numFmtId="49" fontId="7" fillId="9" borderId="26" xfId="0" applyNumberFormat="1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26" xfId="1" applyFont="1" applyFill="1" applyBorder="1" applyAlignment="1">
      <alignment horizontal="center" vertical="center"/>
    </xf>
    <xf numFmtId="3" fontId="10" fillId="5" borderId="24" xfId="0" applyNumberFormat="1" applyFont="1" applyFill="1" applyBorder="1" applyAlignment="1">
      <alignment vertical="center"/>
    </xf>
    <xf numFmtId="0" fontId="6" fillId="9" borderId="28" xfId="1" applyFont="1" applyFill="1" applyBorder="1" applyAlignment="1">
      <alignment horizontal="center" vertical="center" wrapText="1"/>
    </xf>
    <xf numFmtId="49" fontId="7" fillId="9" borderId="22" xfId="0" applyNumberFormat="1" applyFont="1" applyFill="1" applyBorder="1" applyAlignment="1">
      <alignment horizontal="center" vertical="center" wrapText="1"/>
    </xf>
    <xf numFmtId="49" fontId="7" fillId="9" borderId="22" xfId="0" applyNumberFormat="1" applyFont="1" applyFill="1" applyBorder="1" applyAlignment="1">
      <alignment horizontal="center" vertical="center" wrapText="1" shrinkToFi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2" xfId="1" applyFont="1" applyFill="1" applyBorder="1" applyAlignment="1">
      <alignment horizontal="center" vertical="center" wrapText="1"/>
    </xf>
    <xf numFmtId="0" fontId="5" fillId="9" borderId="29" xfId="1" applyFont="1" applyFill="1" applyBorder="1" applyAlignment="1">
      <alignment horizontal="center" vertical="center" wrapText="1"/>
    </xf>
    <xf numFmtId="3" fontId="7" fillId="9" borderId="22" xfId="1" applyNumberFormat="1" applyFont="1" applyFill="1" applyBorder="1" applyAlignment="1">
      <alignment vertical="center" wrapText="1"/>
    </xf>
    <xf numFmtId="3" fontId="5" fillId="9" borderId="59" xfId="0" applyNumberFormat="1" applyFont="1" applyFill="1" applyBorder="1" applyAlignment="1">
      <alignment vertical="center" wrapText="1"/>
    </xf>
    <xf numFmtId="3" fontId="5" fillId="9" borderId="44" xfId="0" applyNumberFormat="1" applyFont="1" applyFill="1" applyBorder="1" applyAlignment="1">
      <alignment vertical="center" wrapText="1"/>
    </xf>
    <xf numFmtId="3" fontId="5" fillId="9" borderId="0" xfId="0" applyNumberFormat="1" applyFont="1" applyFill="1" applyBorder="1" applyAlignment="1">
      <alignment vertical="center" wrapText="1"/>
    </xf>
    <xf numFmtId="3" fontId="7" fillId="9" borderId="23" xfId="0" applyNumberFormat="1" applyFont="1" applyFill="1" applyBorder="1" applyAlignment="1">
      <alignment vertical="center" wrapText="1"/>
    </xf>
    <xf numFmtId="3" fontId="7" fillId="9" borderId="24" xfId="0" applyNumberFormat="1" applyFont="1" applyFill="1" applyBorder="1" applyAlignment="1">
      <alignment vertical="center" wrapText="1"/>
    </xf>
    <xf numFmtId="3" fontId="5" fillId="9" borderId="28" xfId="0" applyNumberFormat="1" applyFont="1" applyFill="1" applyBorder="1" applyAlignment="1">
      <alignment vertical="center" wrapText="1"/>
    </xf>
    <xf numFmtId="3" fontId="5" fillId="9" borderId="22" xfId="0" applyNumberFormat="1" applyFont="1" applyFill="1" applyBorder="1" applyAlignment="1">
      <alignment vertical="center" wrapText="1"/>
    </xf>
    <xf numFmtId="3" fontId="5" fillId="9" borderId="2" xfId="0" applyNumberFormat="1" applyFont="1" applyFill="1" applyBorder="1" applyAlignment="1">
      <alignment vertical="center" wrapText="1"/>
    </xf>
    <xf numFmtId="3" fontId="5" fillId="9" borderId="24" xfId="0" applyNumberFormat="1" applyFont="1" applyFill="1" applyBorder="1" applyAlignment="1">
      <alignment vertical="center" wrapText="1"/>
    </xf>
    <xf numFmtId="3" fontId="5" fillId="9" borderId="23" xfId="0" applyNumberFormat="1" applyFont="1" applyFill="1" applyBorder="1" applyAlignment="1">
      <alignment vertical="center" wrapText="1"/>
    </xf>
    <xf numFmtId="3" fontId="5" fillId="9" borderId="27" xfId="0" applyNumberFormat="1" applyFont="1" applyFill="1" applyBorder="1" applyAlignment="1">
      <alignment vertical="center" wrapText="1"/>
    </xf>
    <xf numFmtId="3" fontId="5" fillId="9" borderId="3" xfId="0" applyNumberFormat="1" applyFont="1" applyFill="1" applyBorder="1" applyAlignment="1">
      <alignment vertical="center" wrapText="1"/>
    </xf>
    <xf numFmtId="0" fontId="5" fillId="9" borderId="29" xfId="0" applyFont="1" applyFill="1" applyBorder="1" applyAlignment="1">
      <alignment horizontal="center" vertical="center" wrapText="1"/>
    </xf>
    <xf numFmtId="49" fontId="5" fillId="9" borderId="25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3" fontId="15" fillId="0" borderId="22" xfId="1" applyNumberFormat="1" applyFont="1" applyBorder="1" applyAlignment="1">
      <alignment vertical="center" wrapText="1"/>
    </xf>
    <xf numFmtId="3" fontId="14" fillId="0" borderId="44" xfId="0" applyNumberFormat="1" applyFont="1" applyBorder="1" applyAlignment="1">
      <alignment vertical="center" wrapText="1"/>
    </xf>
    <xf numFmtId="3" fontId="14" fillId="5" borderId="27" xfId="3" applyNumberFormat="1" applyFont="1" applyFill="1" applyBorder="1" applyAlignment="1">
      <alignment vertical="center"/>
    </xf>
    <xf numFmtId="3" fontId="15" fillId="5" borderId="2" xfId="0" applyNumberFormat="1" applyFont="1" applyFill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0" borderId="24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3" fontId="13" fillId="0" borderId="45" xfId="0" applyNumberFormat="1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3" fontId="13" fillId="5" borderId="37" xfId="3" applyNumberFormat="1" applyFont="1" applyFill="1" applyBorder="1" applyAlignment="1">
      <alignment vertical="center"/>
    </xf>
    <xf numFmtId="3" fontId="20" fillId="5" borderId="26" xfId="0" applyNumberFormat="1" applyFont="1" applyFill="1" applyBorder="1" applyAlignment="1">
      <alignment vertical="center" wrapText="1"/>
    </xf>
    <xf numFmtId="3" fontId="13" fillId="0" borderId="26" xfId="0" applyNumberFormat="1" applyFont="1" applyBorder="1" applyAlignment="1">
      <alignment vertical="center" wrapText="1"/>
    </xf>
    <xf numFmtId="3" fontId="13" fillId="0" borderId="32" xfId="0" applyNumberFormat="1" applyFont="1" applyBorder="1" applyAlignment="1">
      <alignment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8" xfId="1" applyBorder="1" applyAlignment="1">
      <alignment horizontal="center" vertical="center" wrapText="1"/>
    </xf>
    <xf numFmtId="3" fontId="7" fillId="0" borderId="18" xfId="1" applyNumberFormat="1" applyFont="1" applyBorder="1" applyAlignment="1">
      <alignment vertical="center" wrapText="1"/>
    </xf>
    <xf numFmtId="3" fontId="5" fillId="0" borderId="53" xfId="0" applyNumberFormat="1" applyFont="1" applyBorder="1" applyAlignment="1">
      <alignment vertical="center" wrapText="1"/>
    </xf>
    <xf numFmtId="3" fontId="7" fillId="5" borderId="18" xfId="0" applyNumberFormat="1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1" fillId="10" borderId="32" xfId="1" applyFont="1" applyFill="1" applyBorder="1" applyAlignment="1">
      <alignment horizontal="center" vertical="center" wrapText="1"/>
    </xf>
    <xf numFmtId="3" fontId="5" fillId="10" borderId="26" xfId="0" applyNumberFormat="1" applyFont="1" applyFill="1" applyBorder="1" applyAlignment="1">
      <alignment vertical="center"/>
    </xf>
    <xf numFmtId="49" fontId="7" fillId="9" borderId="23" xfId="0" applyNumberFormat="1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3" fontId="5" fillId="9" borderId="26" xfId="3" applyNumberFormat="1" applyFont="1" applyFill="1" applyBorder="1" applyAlignment="1">
      <alignment vertical="center"/>
    </xf>
    <xf numFmtId="3" fontId="5" fillId="9" borderId="32" xfId="0" applyNumberFormat="1" applyFont="1" applyFill="1" applyBorder="1" applyAlignment="1">
      <alignment vertical="center" wrapText="1"/>
    </xf>
    <xf numFmtId="3" fontId="5" fillId="9" borderId="32" xfId="0" applyNumberFormat="1" applyFont="1" applyFill="1" applyBorder="1" applyAlignment="1">
      <alignment vertical="center"/>
    </xf>
    <xf numFmtId="3" fontId="5" fillId="9" borderId="26" xfId="0" applyNumberFormat="1" applyFont="1" applyFill="1" applyBorder="1" applyAlignment="1">
      <alignment vertical="center"/>
    </xf>
    <xf numFmtId="0" fontId="5" fillId="0" borderId="26" xfId="1" applyBorder="1" applyAlignment="1">
      <alignment horizontal="center" vertical="center" wrapText="1"/>
    </xf>
    <xf numFmtId="0" fontId="5" fillId="0" borderId="32" xfId="1" applyBorder="1" applyAlignment="1">
      <alignment horizontal="center" vertical="center" wrapText="1"/>
    </xf>
    <xf numFmtId="3" fontId="5" fillId="0" borderId="26" xfId="3" applyNumberFormat="1" applyBorder="1" applyAlignment="1">
      <alignment vertical="center"/>
    </xf>
    <xf numFmtId="3" fontId="13" fillId="0" borderId="26" xfId="3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 wrapText="1"/>
    </xf>
    <xf numFmtId="49" fontId="15" fillId="10" borderId="23" xfId="0" applyNumberFormat="1" applyFont="1" applyFill="1" applyBorder="1" applyAlignment="1">
      <alignment horizontal="center" vertical="center" wrapText="1"/>
    </xf>
    <xf numFmtId="49" fontId="15" fillId="10" borderId="26" xfId="0" applyNumberFormat="1" applyFont="1" applyFill="1" applyBorder="1" applyAlignment="1">
      <alignment horizontal="center" vertical="center" wrapText="1" shrinkToFi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26" xfId="1" applyFont="1" applyFill="1" applyBorder="1" applyAlignment="1">
      <alignment horizontal="center" vertical="center" wrapText="1"/>
    </xf>
    <xf numFmtId="0" fontId="14" fillId="10" borderId="32" xfId="1" applyFont="1" applyFill="1" applyBorder="1" applyAlignment="1">
      <alignment horizontal="center" vertical="center" wrapText="1"/>
    </xf>
    <xf numFmtId="0" fontId="32" fillId="10" borderId="31" xfId="0" applyFont="1" applyFill="1" applyBorder="1" applyAlignment="1">
      <alignment horizontal="center" vertical="center" wrapText="1"/>
    </xf>
    <xf numFmtId="3" fontId="15" fillId="10" borderId="26" xfId="1" applyNumberFormat="1" applyFont="1" applyFill="1" applyBorder="1" applyAlignment="1">
      <alignment vertical="center" wrapText="1"/>
    </xf>
    <xf numFmtId="3" fontId="14" fillId="10" borderId="26" xfId="3" applyNumberFormat="1" applyFont="1" applyFill="1" applyBorder="1" applyAlignment="1">
      <alignment vertical="center"/>
    </xf>
    <xf numFmtId="3" fontId="14" fillId="10" borderId="32" xfId="0" applyNumberFormat="1" applyFont="1" applyFill="1" applyBorder="1" applyAlignment="1">
      <alignment vertical="center" wrapText="1"/>
    </xf>
    <xf numFmtId="3" fontId="14" fillId="10" borderId="32" xfId="0" applyNumberFormat="1" applyFont="1" applyFill="1" applyBorder="1" applyAlignment="1">
      <alignment vertical="center"/>
    </xf>
    <xf numFmtId="3" fontId="14" fillId="10" borderId="26" xfId="0" applyNumberFormat="1" applyFont="1" applyFill="1" applyBorder="1" applyAlignment="1">
      <alignment vertical="center"/>
    </xf>
    <xf numFmtId="3" fontId="14" fillId="10" borderId="26" xfId="0" applyNumberFormat="1" applyFont="1" applyFill="1" applyBorder="1" applyAlignment="1">
      <alignment vertical="center" wrapText="1"/>
    </xf>
    <xf numFmtId="0" fontId="14" fillId="10" borderId="32" xfId="0" applyFont="1" applyFill="1" applyBorder="1" applyAlignment="1">
      <alignment horizontal="center" vertical="center" wrapText="1"/>
    </xf>
    <xf numFmtId="49" fontId="14" fillId="10" borderId="26" xfId="0" applyNumberFormat="1" applyFont="1" applyFill="1" applyBorder="1" applyAlignment="1">
      <alignment horizontal="center" vertical="center" wrapText="1"/>
    </xf>
    <xf numFmtId="49" fontId="14" fillId="10" borderId="31" xfId="0" applyNumberFormat="1" applyFont="1" applyFill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3" fontId="19" fillId="0" borderId="26" xfId="3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33" fillId="0" borderId="31" xfId="1" applyFont="1" applyBorder="1" applyAlignment="1">
      <alignment horizontal="center" vertical="center" wrapText="1"/>
    </xf>
    <xf numFmtId="3" fontId="20" fillId="10" borderId="26" xfId="1" applyNumberFormat="1" applyFont="1" applyFill="1" applyBorder="1" applyAlignment="1">
      <alignment vertical="center" wrapText="1"/>
    </xf>
    <xf numFmtId="3" fontId="20" fillId="13" borderId="26" xfId="0" applyNumberFormat="1" applyFont="1" applyFill="1" applyBorder="1" applyAlignment="1">
      <alignment vertical="center" wrapText="1"/>
    </xf>
    <xf numFmtId="3" fontId="13" fillId="10" borderId="32" xfId="0" applyNumberFormat="1" applyFont="1" applyFill="1" applyBorder="1" applyAlignment="1">
      <alignment vertical="center" wrapText="1"/>
    </xf>
    <xf numFmtId="49" fontId="12" fillId="0" borderId="33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vertical="center" wrapText="1"/>
    </xf>
    <xf numFmtId="3" fontId="9" fillId="0" borderId="31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horizontal="right" vertical="center"/>
    </xf>
    <xf numFmtId="49" fontId="9" fillId="10" borderId="2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49" fontId="5" fillId="6" borderId="31" xfId="0" applyNumberFormat="1" applyFont="1" applyFill="1" applyBorder="1" applyAlignment="1">
      <alignment horizontal="center" vertical="center" wrapText="1"/>
    </xf>
    <xf numFmtId="3" fontId="5" fillId="6" borderId="23" xfId="0" applyNumberFormat="1" applyFont="1" applyFill="1" applyBorder="1" applyAlignment="1">
      <alignment horizontal="right" vertical="center"/>
    </xf>
    <xf numFmtId="49" fontId="7" fillId="9" borderId="26" xfId="0" applyNumberFormat="1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/>
    </xf>
    <xf numFmtId="3" fontId="7" fillId="9" borderId="37" xfId="1" applyNumberFormat="1" applyFont="1" applyFill="1" applyBorder="1" applyAlignment="1">
      <alignment vertical="center" wrapText="1"/>
    </xf>
    <xf numFmtId="3" fontId="5" fillId="9" borderId="41" xfId="0" applyNumberFormat="1" applyFont="1" applyFill="1" applyBorder="1" applyAlignment="1">
      <alignment vertical="center" wrapText="1"/>
    </xf>
    <xf numFmtId="3" fontId="5" fillId="9" borderId="26" xfId="0" applyNumberFormat="1" applyFont="1" applyFill="1" applyBorder="1" applyAlignment="1">
      <alignment vertical="center" wrapText="1"/>
    </xf>
    <xf numFmtId="3" fontId="5" fillId="9" borderId="31" xfId="0" applyNumberFormat="1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7" fillId="9" borderId="33" xfId="0" applyNumberFormat="1" applyFont="1" applyFill="1" applyBorder="1" applyAlignment="1">
      <alignment horizontal="center" vertical="center" wrapText="1" shrinkToFit="1"/>
    </xf>
    <xf numFmtId="0" fontId="5" fillId="9" borderId="35" xfId="1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3" fontId="5" fillId="9" borderId="39" xfId="0" applyNumberFormat="1" applyFont="1" applyFill="1" applyBorder="1" applyAlignment="1">
      <alignment vertical="center" wrapText="1"/>
    </xf>
    <xf numFmtId="49" fontId="5" fillId="9" borderId="26" xfId="0" applyNumberFormat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vertical="center" wrapText="1"/>
    </xf>
    <xf numFmtId="3" fontId="15" fillId="0" borderId="34" xfId="1" applyNumberFormat="1" applyFont="1" applyFill="1" applyBorder="1" applyAlignment="1">
      <alignment vertical="center" wrapText="1"/>
    </xf>
    <xf numFmtId="3" fontId="15" fillId="0" borderId="33" xfId="1" applyNumberFormat="1" applyFont="1" applyFill="1" applyBorder="1" applyAlignment="1">
      <alignment vertical="center" wrapText="1"/>
    </xf>
    <xf numFmtId="0" fontId="14" fillId="0" borderId="33" xfId="1" applyFont="1" applyFill="1" applyBorder="1" applyAlignment="1">
      <alignment horizontal="center" vertical="center" wrapText="1"/>
    </xf>
    <xf numFmtId="3" fontId="10" fillId="9" borderId="33" xfId="1" applyNumberFormat="1" applyFont="1" applyFill="1" applyBorder="1" applyAlignment="1">
      <alignment vertical="center" wrapText="1"/>
    </xf>
    <xf numFmtId="0" fontId="6" fillId="9" borderId="37" xfId="0" applyFont="1" applyFill="1" applyBorder="1" applyAlignment="1">
      <alignment horizontal="center" vertical="center" wrapText="1"/>
    </xf>
    <xf numFmtId="3" fontId="5" fillId="9" borderId="41" xfId="0" applyNumberFormat="1" applyFont="1" applyFill="1" applyBorder="1" applyAlignment="1">
      <alignment vertical="center"/>
    </xf>
    <xf numFmtId="3" fontId="10" fillId="9" borderId="26" xfId="0" applyNumberFormat="1" applyFont="1" applyFill="1" applyBorder="1" applyAlignment="1">
      <alignment vertical="center" wrapText="1"/>
    </xf>
    <xf numFmtId="3" fontId="5" fillId="9" borderId="49" xfId="0" applyNumberFormat="1" applyFont="1" applyFill="1" applyBorder="1" applyAlignment="1">
      <alignment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49" fontId="10" fillId="9" borderId="33" xfId="0" applyNumberFormat="1" applyFont="1" applyFill="1" applyBorder="1" applyAlignment="1">
      <alignment horizontal="center" vertical="center" wrapText="1"/>
    </xf>
    <xf numFmtId="49" fontId="10" fillId="9" borderId="33" xfId="0" applyNumberFormat="1" applyFont="1" applyFill="1" applyBorder="1" applyAlignment="1">
      <alignment horizontal="center" vertical="center" wrapText="1" shrinkToFi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33" xfId="1" applyFont="1" applyFill="1" applyBorder="1" applyAlignment="1">
      <alignment horizontal="center" vertical="center" wrapText="1"/>
    </xf>
    <xf numFmtId="0" fontId="9" fillId="9" borderId="35" xfId="1" applyFont="1" applyFill="1" applyBorder="1" applyAlignment="1">
      <alignment horizontal="center" vertical="center" wrapText="1"/>
    </xf>
    <xf numFmtId="0" fontId="29" fillId="9" borderId="41" xfId="0" applyFont="1" applyFill="1" applyBorder="1" applyAlignment="1">
      <alignment horizontal="center" vertical="center"/>
    </xf>
    <xf numFmtId="3" fontId="10" fillId="9" borderId="26" xfId="0" applyNumberFormat="1" applyFont="1" applyFill="1" applyBorder="1" applyAlignment="1">
      <alignment vertical="center"/>
    </xf>
    <xf numFmtId="3" fontId="9" fillId="9" borderId="41" xfId="0" applyNumberFormat="1" applyFont="1" applyFill="1" applyBorder="1" applyAlignment="1">
      <alignment vertical="center" wrapText="1"/>
    </xf>
    <xf numFmtId="3" fontId="9" fillId="9" borderId="26" xfId="0" applyNumberFormat="1" applyFont="1" applyFill="1" applyBorder="1" applyAlignment="1">
      <alignment vertical="center" wrapText="1"/>
    </xf>
    <xf numFmtId="3" fontId="10" fillId="9" borderId="32" xfId="0" applyNumberFormat="1" applyFont="1" applyFill="1" applyBorder="1" applyAlignment="1">
      <alignment vertical="center" wrapText="1"/>
    </xf>
    <xf numFmtId="3" fontId="9" fillId="9" borderId="39" xfId="0" applyNumberFormat="1" applyFont="1" applyFill="1" applyBorder="1" applyAlignment="1">
      <alignment vertical="center" wrapText="1"/>
    </xf>
    <xf numFmtId="3" fontId="9" fillId="9" borderId="33" xfId="0" applyNumberFormat="1" applyFont="1" applyFill="1" applyBorder="1" applyAlignment="1">
      <alignment vertical="center" wrapText="1"/>
    </xf>
    <xf numFmtId="3" fontId="9" fillId="9" borderId="35" xfId="0" applyNumberFormat="1" applyFont="1" applyFill="1" applyBorder="1" applyAlignment="1">
      <alignment vertical="center" wrapText="1"/>
    </xf>
    <xf numFmtId="3" fontId="9" fillId="9" borderId="45" xfId="0" applyNumberFormat="1" applyFont="1" applyFill="1" applyBorder="1" applyAlignment="1">
      <alignment vertical="center" wrapText="1"/>
    </xf>
    <xf numFmtId="3" fontId="9" fillId="9" borderId="32" xfId="0" applyNumberFormat="1" applyFont="1" applyFill="1" applyBorder="1" applyAlignment="1">
      <alignment vertical="center" wrapText="1"/>
    </xf>
    <xf numFmtId="3" fontId="9" fillId="9" borderId="34" xfId="0" applyNumberFormat="1" applyFont="1" applyFill="1" applyBorder="1" applyAlignment="1">
      <alignment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49" fontId="9" fillId="9" borderId="31" xfId="0" applyNumberFormat="1" applyFont="1" applyFill="1" applyBorder="1" applyAlignment="1">
      <alignment horizontal="center" vertical="center" wrapText="1"/>
    </xf>
    <xf numFmtId="3" fontId="5" fillId="9" borderId="40" xfId="0" applyNumberFormat="1" applyFont="1" applyFill="1" applyBorder="1" applyAlignment="1">
      <alignment vertical="center"/>
    </xf>
    <xf numFmtId="49" fontId="10" fillId="9" borderId="23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3" fontId="9" fillId="9" borderId="49" xfId="0" applyNumberFormat="1" applyFont="1" applyFill="1" applyBorder="1" applyAlignment="1">
      <alignment vertical="center" wrapText="1"/>
    </xf>
    <xf numFmtId="3" fontId="9" fillId="9" borderId="23" xfId="0" applyNumberFormat="1" applyFont="1" applyFill="1" applyBorder="1" applyAlignment="1">
      <alignment vertical="center" wrapText="1"/>
    </xf>
    <xf numFmtId="3" fontId="9" fillId="9" borderId="24" xfId="0" applyNumberFormat="1" applyFont="1" applyFill="1" applyBorder="1" applyAlignment="1">
      <alignment vertical="center"/>
    </xf>
    <xf numFmtId="0" fontId="9" fillId="9" borderId="23" xfId="0" applyFont="1" applyFill="1" applyBorder="1" applyAlignment="1">
      <alignment horizontal="center" vertical="center" wrapText="1"/>
    </xf>
    <xf numFmtId="49" fontId="9" fillId="9" borderId="23" xfId="0" applyNumberFormat="1" applyFont="1" applyFill="1" applyBorder="1" applyAlignment="1">
      <alignment horizontal="center" vertical="center" wrapText="1"/>
    </xf>
    <xf numFmtId="49" fontId="9" fillId="9" borderId="25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vertical="center" wrapText="1"/>
    </xf>
    <xf numFmtId="3" fontId="5" fillId="6" borderId="24" xfId="0" applyNumberFormat="1" applyFont="1" applyFill="1" applyBorder="1" applyAlignment="1">
      <alignment vertical="center"/>
    </xf>
    <xf numFmtId="3" fontId="14" fillId="0" borderId="55" xfId="0" applyNumberFormat="1" applyFont="1" applyBorder="1" applyAlignment="1">
      <alignment vertical="center" wrapText="1"/>
    </xf>
    <xf numFmtId="3" fontId="11" fillId="0" borderId="45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9" borderId="4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vertical="center" wrapText="1"/>
    </xf>
    <xf numFmtId="49" fontId="5" fillId="10" borderId="31" xfId="0" applyNumberFormat="1" applyFont="1" applyFill="1" applyBorder="1" applyAlignment="1">
      <alignment horizontal="center" vertical="center" wrapText="1"/>
    </xf>
    <xf numFmtId="49" fontId="13" fillId="10" borderId="26" xfId="0" applyNumberFormat="1" applyFont="1" applyFill="1" applyBorder="1" applyAlignment="1">
      <alignment horizontal="center" vertical="center" wrapText="1"/>
    </xf>
    <xf numFmtId="3" fontId="5" fillId="10" borderId="26" xfId="0" applyNumberFormat="1" applyFont="1" applyFill="1" applyBorder="1" applyAlignment="1">
      <alignment horizontal="right" vertical="center"/>
    </xf>
    <xf numFmtId="3" fontId="10" fillId="9" borderId="23" xfId="0" applyNumberFormat="1" applyFont="1" applyFill="1" applyBorder="1" applyAlignment="1">
      <alignment vertical="center" wrapText="1"/>
    </xf>
    <xf numFmtId="3" fontId="7" fillId="0" borderId="12" xfId="1" applyNumberFormat="1" applyFont="1" applyFill="1" applyBorder="1" applyAlignment="1">
      <alignment vertical="center" wrapText="1"/>
    </xf>
    <xf numFmtId="3" fontId="15" fillId="0" borderId="12" xfId="1" applyNumberFormat="1" applyFont="1" applyFill="1" applyBorder="1" applyAlignment="1">
      <alignment vertical="center" wrapText="1"/>
    </xf>
    <xf numFmtId="3" fontId="14" fillId="0" borderId="32" xfId="0" applyNumberFormat="1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vertical="center" wrapText="1"/>
    </xf>
    <xf numFmtId="3" fontId="7" fillId="6" borderId="31" xfId="1" applyNumberFormat="1" applyFont="1" applyFill="1" applyBorder="1" applyAlignment="1">
      <alignment vertical="center"/>
    </xf>
    <xf numFmtId="3" fontId="7" fillId="9" borderId="23" xfId="1" applyNumberFormat="1" applyFont="1" applyFill="1" applyBorder="1" applyAlignment="1">
      <alignment vertical="center" wrapText="1"/>
    </xf>
    <xf numFmtId="3" fontId="7" fillId="9" borderId="26" xfId="0" applyNumberFormat="1" applyFont="1" applyFill="1" applyBorder="1" applyAlignment="1">
      <alignment vertical="center"/>
    </xf>
    <xf numFmtId="49" fontId="10" fillId="9" borderId="14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29" fillId="9" borderId="30" xfId="0" applyFont="1" applyFill="1" applyBorder="1" applyAlignment="1">
      <alignment horizontal="center" vertical="center"/>
    </xf>
    <xf numFmtId="3" fontId="10" fillId="9" borderId="14" xfId="0" applyNumberFormat="1" applyFont="1" applyFill="1" applyBorder="1" applyAlignment="1">
      <alignment horizontal="right" vertical="center"/>
    </xf>
    <xf numFmtId="3" fontId="10" fillId="9" borderId="30" xfId="0" applyNumberFormat="1" applyFont="1" applyFill="1" applyBorder="1" applyAlignment="1">
      <alignment vertical="center" wrapText="1"/>
    </xf>
    <xf numFmtId="3" fontId="10" fillId="9" borderId="14" xfId="0" applyNumberFormat="1" applyFont="1" applyFill="1" applyBorder="1" applyAlignment="1">
      <alignment vertical="center" wrapText="1"/>
    </xf>
    <xf numFmtId="3" fontId="9" fillId="9" borderId="65" xfId="0" applyNumberFormat="1" applyFont="1" applyFill="1" applyBorder="1" applyAlignment="1">
      <alignment vertical="center" wrapText="1"/>
    </xf>
    <xf numFmtId="3" fontId="9" fillId="9" borderId="14" xfId="0" applyNumberFormat="1" applyFont="1" applyFill="1" applyBorder="1" applyAlignment="1">
      <alignment vertical="center" wrapText="1"/>
    </xf>
    <xf numFmtId="3" fontId="9" fillId="9" borderId="16" xfId="0" applyNumberFormat="1" applyFont="1" applyFill="1" applyBorder="1" applyAlignment="1">
      <alignment vertical="center"/>
    </xf>
    <xf numFmtId="3" fontId="9" fillId="9" borderId="63" xfId="0" applyNumberFormat="1" applyFont="1" applyFill="1" applyBorder="1" applyAlignment="1">
      <alignment vertical="center"/>
    </xf>
    <xf numFmtId="3" fontId="9" fillId="9" borderId="14" xfId="0" applyNumberFormat="1" applyFont="1" applyFill="1" applyBorder="1" applyAlignment="1">
      <alignment horizontal="right" vertical="center"/>
    </xf>
    <xf numFmtId="3" fontId="9" fillId="9" borderId="16" xfId="0" applyNumberFormat="1" applyFont="1" applyFill="1" applyBorder="1" applyAlignment="1">
      <alignment horizontal="right" vertical="center"/>
    </xf>
    <xf numFmtId="0" fontId="9" fillId="9" borderId="14" xfId="0" applyFont="1" applyFill="1" applyBorder="1" applyAlignment="1">
      <alignment horizontal="center" vertical="center" wrapText="1"/>
    </xf>
    <xf numFmtId="49" fontId="9" fillId="9" borderId="14" xfId="0" applyNumberFormat="1" applyFont="1" applyFill="1" applyBorder="1" applyAlignment="1">
      <alignment horizontal="center" vertical="center" wrapText="1"/>
    </xf>
    <xf numFmtId="49" fontId="9" fillId="9" borderId="30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vertical="center" wrapText="1"/>
    </xf>
    <xf numFmtId="3" fontId="5" fillId="6" borderId="24" xfId="0" applyNumberFormat="1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horizontal="right" vertical="center"/>
    </xf>
    <xf numFmtId="3" fontId="7" fillId="9" borderId="14" xfId="0" applyNumberFormat="1" applyFont="1" applyFill="1" applyBorder="1" applyAlignment="1">
      <alignment vertical="center" wrapText="1"/>
    </xf>
    <xf numFmtId="3" fontId="10" fillId="9" borderId="43" xfId="0" applyNumberFormat="1" applyFont="1" applyFill="1" applyBorder="1" applyAlignment="1">
      <alignment vertical="center" wrapText="1"/>
    </xf>
    <xf numFmtId="3" fontId="9" fillId="9" borderId="30" xfId="0" applyNumberFormat="1" applyFont="1" applyFill="1" applyBorder="1" applyAlignment="1">
      <alignment vertical="center" wrapText="1"/>
    </xf>
    <xf numFmtId="3" fontId="10" fillId="9" borderId="26" xfId="1" applyNumberFormat="1" applyFont="1" applyFill="1" applyBorder="1" applyAlignment="1">
      <alignment vertical="center" wrapText="1"/>
    </xf>
    <xf numFmtId="3" fontId="13" fillId="0" borderId="35" xfId="0" applyNumberFormat="1" applyFont="1" applyBorder="1" applyAlignment="1">
      <alignment vertical="center" wrapText="1"/>
    </xf>
    <xf numFmtId="0" fontId="13" fillId="10" borderId="26" xfId="0" applyFont="1" applyFill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 shrinkToFit="1"/>
    </xf>
    <xf numFmtId="0" fontId="9" fillId="0" borderId="26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3" fontId="10" fillId="0" borderId="31" xfId="1" applyNumberFormat="1" applyFont="1" applyBorder="1" applyAlignment="1">
      <alignment vertical="center" wrapText="1"/>
    </xf>
    <xf numFmtId="0" fontId="14" fillId="0" borderId="26" xfId="1" applyFont="1" applyBorder="1" applyAlignment="1">
      <alignment horizontal="center" vertical="center" wrapText="1"/>
    </xf>
    <xf numFmtId="3" fontId="14" fillId="0" borderId="40" xfId="0" applyNumberFormat="1" applyFont="1" applyBorder="1" applyAlignment="1">
      <alignment vertical="center" wrapText="1"/>
    </xf>
    <xf numFmtId="3" fontId="14" fillId="0" borderId="31" xfId="0" applyNumberFormat="1" applyFont="1" applyBorder="1" applyAlignment="1">
      <alignment vertical="center" wrapText="1"/>
    </xf>
    <xf numFmtId="3" fontId="14" fillId="0" borderId="32" xfId="0" applyNumberFormat="1" applyFont="1" applyBorder="1" applyAlignment="1">
      <alignment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3" fontId="15" fillId="0" borderId="31" xfId="1" applyNumberFormat="1" applyFont="1" applyBorder="1" applyAlignment="1">
      <alignment vertical="center" wrapText="1"/>
    </xf>
    <xf numFmtId="3" fontId="15" fillId="0" borderId="23" xfId="1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3" fontId="14" fillId="0" borderId="51" xfId="0" applyNumberFormat="1" applyFont="1" applyBorder="1" applyAlignment="1">
      <alignment vertical="center" wrapText="1"/>
    </xf>
    <xf numFmtId="3" fontId="14" fillId="5" borderId="27" xfId="0" applyNumberFormat="1" applyFont="1" applyFill="1" applyBorder="1" applyAlignment="1">
      <alignment vertical="center" wrapText="1"/>
    </xf>
    <xf numFmtId="3" fontId="15" fillId="5" borderId="24" xfId="0" applyNumberFormat="1" applyFont="1" applyFill="1" applyBorder="1" applyAlignment="1">
      <alignment vertical="center" wrapText="1"/>
    </xf>
    <xf numFmtId="3" fontId="14" fillId="0" borderId="25" xfId="0" applyNumberFormat="1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 shrinkToFit="1"/>
    </xf>
    <xf numFmtId="0" fontId="33" fillId="0" borderId="32" xfId="0" applyFont="1" applyBorder="1" applyAlignment="1">
      <alignment horizontal="center" vertical="center" wrapText="1"/>
    </xf>
    <xf numFmtId="3" fontId="13" fillId="5" borderId="27" xfId="0" applyNumberFormat="1" applyFont="1" applyFill="1" applyBorder="1" applyAlignment="1">
      <alignment vertical="center" wrapText="1"/>
    </xf>
    <xf numFmtId="3" fontId="20" fillId="4" borderId="23" xfId="0" applyNumberFormat="1" applyFont="1" applyFill="1" applyBorder="1" applyAlignment="1">
      <alignment vertical="center" wrapText="1"/>
    </xf>
    <xf numFmtId="3" fontId="20" fillId="5" borderId="24" xfId="0" applyNumberFormat="1" applyFont="1" applyFill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3" fontId="13" fillId="0" borderId="23" xfId="0" applyNumberFormat="1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3" fontId="20" fillId="0" borderId="28" xfId="1" applyNumberFormat="1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 vertical="center" wrapText="1" shrinkToFit="1"/>
    </xf>
    <xf numFmtId="0" fontId="9" fillId="0" borderId="33" xfId="1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 shrinkToFit="1"/>
    </xf>
    <xf numFmtId="0" fontId="32" fillId="0" borderId="32" xfId="0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vertical="center" wrapText="1"/>
    </xf>
    <xf numFmtId="3" fontId="13" fillId="5" borderId="19" xfId="0" applyNumberFormat="1" applyFont="1" applyFill="1" applyBorder="1" applyAlignment="1">
      <alignment vertical="center" wrapText="1"/>
    </xf>
    <xf numFmtId="3" fontId="20" fillId="5" borderId="43" xfId="0" applyNumberFormat="1" applyFont="1" applyFill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43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49" fontId="10" fillId="9" borderId="26" xfId="0" applyNumberFormat="1" applyFont="1" applyFill="1" applyBorder="1" applyAlignment="1">
      <alignment horizontal="center" vertical="center" wrapText="1"/>
    </xf>
    <xf numFmtId="49" fontId="10" fillId="9" borderId="26" xfId="0" applyNumberFormat="1" applyFont="1" applyFill="1" applyBorder="1" applyAlignment="1">
      <alignment horizontal="center" vertical="center" wrapText="1" shrinkToFit="1"/>
    </xf>
    <xf numFmtId="0" fontId="9" fillId="9" borderId="26" xfId="1" applyFont="1" applyFill="1" applyBorder="1" applyAlignment="1">
      <alignment horizontal="center" vertical="center" wrapText="1"/>
    </xf>
    <xf numFmtId="0" fontId="29" fillId="9" borderId="37" xfId="0" applyFont="1" applyFill="1" applyBorder="1" applyAlignment="1">
      <alignment horizontal="center" vertical="center"/>
    </xf>
    <xf numFmtId="3" fontId="10" fillId="9" borderId="37" xfId="1" applyNumberFormat="1" applyFont="1" applyFill="1" applyBorder="1" applyAlignment="1">
      <alignment vertical="center" wrapText="1"/>
    </xf>
    <xf numFmtId="3" fontId="9" fillId="9" borderId="41" xfId="0" applyNumberFormat="1" applyFont="1" applyFill="1" applyBorder="1" applyAlignment="1">
      <alignment vertical="center"/>
    </xf>
    <xf numFmtId="3" fontId="9" fillId="9" borderId="26" xfId="0" applyNumberFormat="1" applyFont="1" applyFill="1" applyBorder="1" applyAlignment="1">
      <alignment vertical="center"/>
    </xf>
    <xf numFmtId="0" fontId="23" fillId="9" borderId="0" xfId="0" applyFont="1" applyFill="1"/>
    <xf numFmtId="49" fontId="9" fillId="0" borderId="4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0" fillId="4" borderId="14" xfId="0" applyFill="1" applyBorder="1"/>
    <xf numFmtId="0" fontId="5" fillId="6" borderId="25" xfId="1" applyFont="1" applyFill="1" applyBorder="1" applyAlignment="1">
      <alignment horizontal="center" vertical="center"/>
    </xf>
    <xf numFmtId="3" fontId="5" fillId="6" borderId="27" xfId="1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49" fontId="9" fillId="9" borderId="26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 wrapText="1" shrinkToFit="1"/>
    </xf>
    <xf numFmtId="0" fontId="33" fillId="0" borderId="34" xfId="0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5" borderId="26" xfId="0" applyNumberFormat="1" applyFont="1" applyFill="1" applyBorder="1" applyAlignment="1">
      <alignment vertical="center" wrapText="1"/>
    </xf>
    <xf numFmtId="3" fontId="13" fillId="0" borderId="39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3" fontId="13" fillId="0" borderId="34" xfId="0" applyNumberFormat="1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 wrapText="1"/>
    </xf>
    <xf numFmtId="3" fontId="15" fillId="0" borderId="23" xfId="1" applyNumberFormat="1" applyFont="1" applyFill="1" applyBorder="1" applyAlignment="1">
      <alignment vertical="center"/>
    </xf>
    <xf numFmtId="3" fontId="15" fillId="4" borderId="23" xfId="0" applyNumberFormat="1" applyFont="1" applyFill="1" applyBorder="1" applyAlignment="1">
      <alignment vertical="center"/>
    </xf>
    <xf numFmtId="3" fontId="15" fillId="5" borderId="24" xfId="0" applyNumberFormat="1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4" fillId="0" borderId="55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3" fontId="15" fillId="0" borderId="25" xfId="1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horizontal="center" vertical="center"/>
    </xf>
    <xf numFmtId="0" fontId="32" fillId="0" borderId="23" xfId="1" applyFont="1" applyFill="1" applyBorder="1" applyAlignment="1">
      <alignment horizontal="center" vertical="center" wrapText="1"/>
    </xf>
    <xf numFmtId="3" fontId="15" fillId="0" borderId="26" xfId="1" applyNumberFormat="1" applyFont="1" applyFill="1" applyBorder="1" applyAlignment="1">
      <alignment vertical="center"/>
    </xf>
    <xf numFmtId="3" fontId="14" fillId="0" borderId="40" xfId="0" applyNumberFormat="1" applyFont="1" applyFill="1" applyBorder="1" applyAlignment="1">
      <alignment vertical="center"/>
    </xf>
    <xf numFmtId="3" fontId="15" fillId="4" borderId="26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3" fontId="15" fillId="0" borderId="31" xfId="1" applyNumberFormat="1" applyFont="1" applyFill="1" applyBorder="1" applyAlignment="1">
      <alignment vertical="center"/>
    </xf>
    <xf numFmtId="49" fontId="10" fillId="9" borderId="26" xfId="0" applyNumberFormat="1" applyFont="1" applyFill="1" applyBorder="1" applyAlignment="1">
      <alignment horizontal="center" vertical="center"/>
    </xf>
    <xf numFmtId="49" fontId="10" fillId="9" borderId="32" xfId="0" applyNumberFormat="1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6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32" fillId="0" borderId="26" xfId="1" applyFont="1" applyFill="1" applyBorder="1" applyAlignment="1">
      <alignment horizontal="center" vertical="center" wrapText="1"/>
    </xf>
    <xf numFmtId="3" fontId="14" fillId="5" borderId="37" xfId="1" applyNumberFormat="1" applyFont="1" applyFill="1" applyBorder="1" applyAlignment="1">
      <alignment vertical="center"/>
    </xf>
    <xf numFmtId="3" fontId="15" fillId="5" borderId="26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horizontal="right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top" wrapText="1"/>
    </xf>
    <xf numFmtId="3" fontId="14" fillId="0" borderId="34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3" fontId="14" fillId="0" borderId="47" xfId="0" applyNumberFormat="1" applyFont="1" applyFill="1" applyBorder="1" applyAlignment="1">
      <alignment vertical="center"/>
    </xf>
    <xf numFmtId="3" fontId="14" fillId="0" borderId="35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horizontal="right" vertical="center"/>
    </xf>
    <xf numFmtId="49" fontId="10" fillId="9" borderId="33" xfId="0" applyNumberFormat="1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 wrapText="1"/>
    </xf>
    <xf numFmtId="0" fontId="9" fillId="9" borderId="39" xfId="1" applyFont="1" applyFill="1" applyBorder="1" applyAlignment="1">
      <alignment horizontal="center" vertical="center"/>
    </xf>
    <xf numFmtId="0" fontId="9" fillId="9" borderId="33" xfId="1" applyFont="1" applyFill="1" applyBorder="1" applyAlignment="1">
      <alignment horizontal="center" vertical="center"/>
    </xf>
    <xf numFmtId="0" fontId="29" fillId="9" borderId="35" xfId="0" applyFont="1" applyFill="1" applyBorder="1" applyAlignment="1">
      <alignment horizontal="center" wrapText="1"/>
    </xf>
    <xf numFmtId="3" fontId="10" fillId="9" borderId="33" xfId="1" applyNumberFormat="1" applyFont="1" applyFill="1" applyBorder="1" applyAlignment="1">
      <alignment vertical="center"/>
    </xf>
    <xf numFmtId="3" fontId="9" fillId="9" borderId="52" xfId="0" applyNumberFormat="1" applyFont="1" applyFill="1" applyBorder="1" applyAlignment="1">
      <alignment vertical="center"/>
    </xf>
    <xf numFmtId="3" fontId="9" fillId="9" borderId="19" xfId="1" applyNumberFormat="1" applyFont="1" applyFill="1" applyBorder="1" applyAlignment="1">
      <alignment vertical="center"/>
    </xf>
    <xf numFmtId="3" fontId="10" fillId="9" borderId="13" xfId="0" applyNumberFormat="1" applyFont="1" applyFill="1" applyBorder="1" applyAlignment="1">
      <alignment vertical="center"/>
    </xf>
    <xf numFmtId="3" fontId="9" fillId="9" borderId="15" xfId="0" applyNumberFormat="1" applyFont="1" applyFill="1" applyBorder="1" applyAlignment="1">
      <alignment vertical="center"/>
    </xf>
    <xf numFmtId="3" fontId="9" fillId="9" borderId="13" xfId="0" applyNumberFormat="1" applyFont="1" applyFill="1" applyBorder="1" applyAlignment="1">
      <alignment vertical="center"/>
    </xf>
    <xf numFmtId="3" fontId="9" fillId="9" borderId="13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49" fontId="10" fillId="9" borderId="23" xfId="0" applyNumberFormat="1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9" borderId="37" xfId="1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wrapText="1"/>
    </xf>
    <xf numFmtId="3" fontId="10" fillId="9" borderId="26" xfId="1" applyNumberFormat="1" applyFont="1" applyFill="1" applyBorder="1" applyAlignment="1">
      <alignment vertical="center"/>
    </xf>
    <xf numFmtId="3" fontId="9" fillId="9" borderId="45" xfId="0" applyNumberFormat="1" applyFont="1" applyFill="1" applyBorder="1" applyAlignment="1">
      <alignment vertical="center"/>
    </xf>
    <xf numFmtId="3" fontId="9" fillId="9" borderId="40" xfId="0" applyNumberFormat="1" applyFont="1" applyFill="1" applyBorder="1" applyAlignment="1">
      <alignment vertical="center"/>
    </xf>
    <xf numFmtId="3" fontId="9" fillId="9" borderId="31" xfId="1" applyNumberFormat="1" applyFont="1" applyFill="1" applyBorder="1" applyAlignment="1">
      <alignment vertical="center"/>
    </xf>
    <xf numFmtId="3" fontId="9" fillId="9" borderId="31" xfId="0" applyNumberFormat="1" applyFont="1" applyFill="1" applyBorder="1" applyAlignment="1">
      <alignment vertical="center"/>
    </xf>
    <xf numFmtId="3" fontId="9" fillId="9" borderId="32" xfId="0" applyNumberFormat="1" applyFont="1" applyFill="1" applyBorder="1" applyAlignment="1">
      <alignment vertical="center"/>
    </xf>
    <xf numFmtId="3" fontId="9" fillId="9" borderId="26" xfId="0" applyNumberFormat="1" applyFont="1" applyFill="1" applyBorder="1" applyAlignment="1">
      <alignment horizontal="right" vertical="center"/>
    </xf>
    <xf numFmtId="49" fontId="9" fillId="9" borderId="31" xfId="0" applyNumberFormat="1" applyFont="1" applyFill="1" applyBorder="1" applyAlignment="1">
      <alignment horizontal="center" vertical="center"/>
    </xf>
    <xf numFmtId="3" fontId="9" fillId="9" borderId="57" xfId="0" applyNumberFormat="1" applyFont="1" applyFill="1" applyBorder="1" applyAlignment="1">
      <alignment vertical="center"/>
    </xf>
    <xf numFmtId="3" fontId="9" fillId="9" borderId="43" xfId="0" applyNumberFormat="1" applyFont="1" applyFill="1" applyBorder="1" applyAlignment="1">
      <alignment vertical="center"/>
    </xf>
    <xf numFmtId="3" fontId="9" fillId="9" borderId="13" xfId="0" applyNumberFormat="1" applyFont="1" applyFill="1" applyBorder="1" applyAlignment="1">
      <alignment horizontal="right" vertical="center"/>
    </xf>
    <xf numFmtId="0" fontId="9" fillId="9" borderId="13" xfId="0" applyFont="1" applyFill="1" applyBorder="1" applyAlignment="1">
      <alignment horizontal="center" vertical="center" wrapText="1"/>
    </xf>
    <xf numFmtId="49" fontId="9" fillId="9" borderId="58" xfId="0" applyNumberFormat="1" applyFont="1" applyFill="1" applyBorder="1" applyAlignment="1">
      <alignment horizontal="center" vertical="center"/>
    </xf>
    <xf numFmtId="49" fontId="9" fillId="9" borderId="15" xfId="0" applyNumberFormat="1" applyFont="1" applyFill="1" applyBorder="1" applyAlignment="1">
      <alignment horizontal="center" vertical="center"/>
    </xf>
    <xf numFmtId="49" fontId="9" fillId="9" borderId="13" xfId="0" applyNumberFormat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 wrapText="1"/>
    </xf>
    <xf numFmtId="3" fontId="9" fillId="5" borderId="37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31" xfId="1" applyNumberFormat="1" applyFont="1" applyFill="1" applyBorder="1" applyAlignment="1">
      <alignment horizontal="center" vertical="center" wrapText="1"/>
    </xf>
    <xf numFmtId="49" fontId="9" fillId="0" borderId="26" xfId="1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 shrinkToFi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29" fillId="9" borderId="2" xfId="1" applyFont="1" applyFill="1" applyBorder="1" applyAlignment="1">
      <alignment horizontal="center" vertical="center" wrapText="1"/>
    </xf>
    <xf numFmtId="3" fontId="10" fillId="9" borderId="2" xfId="1" applyNumberFormat="1" applyFont="1" applyFill="1" applyBorder="1" applyAlignment="1">
      <alignment vertical="center" wrapText="1"/>
    </xf>
    <xf numFmtId="3" fontId="9" fillId="9" borderId="59" xfId="0" applyNumberFormat="1" applyFont="1" applyFill="1" applyBorder="1" applyAlignment="1">
      <alignment vertical="center" wrapText="1"/>
    </xf>
    <xf numFmtId="3" fontId="9" fillId="9" borderId="44" xfId="0" applyNumberFormat="1" applyFont="1" applyFill="1" applyBorder="1" applyAlignment="1">
      <alignment vertical="center" wrapText="1"/>
    </xf>
    <xf numFmtId="3" fontId="9" fillId="9" borderId="27" xfId="0" applyNumberFormat="1" applyFont="1" applyFill="1" applyBorder="1" applyAlignment="1">
      <alignment vertical="center" wrapText="1"/>
    </xf>
    <xf numFmtId="3" fontId="10" fillId="9" borderId="24" xfId="0" applyNumberFormat="1" applyFont="1" applyFill="1" applyBorder="1" applyAlignment="1">
      <alignment vertical="center" wrapText="1"/>
    </xf>
    <xf numFmtId="3" fontId="9" fillId="9" borderId="2" xfId="0" applyNumberFormat="1" applyFont="1" applyFill="1" applyBorder="1" applyAlignment="1">
      <alignment vertical="center" wrapText="1"/>
    </xf>
    <xf numFmtId="3" fontId="9" fillId="9" borderId="24" xfId="0" applyNumberFormat="1" applyFont="1" applyFill="1" applyBorder="1" applyAlignment="1">
      <alignment vertical="center" wrapText="1"/>
    </xf>
    <xf numFmtId="3" fontId="15" fillId="0" borderId="28" xfId="1" applyNumberFormat="1" applyFont="1" applyBorder="1" applyAlignment="1">
      <alignment vertical="center" wrapText="1"/>
    </xf>
    <xf numFmtId="4" fontId="5" fillId="6" borderId="23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vertical="center" wrapText="1"/>
    </xf>
    <xf numFmtId="3" fontId="7" fillId="5" borderId="19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5" fillId="6" borderId="25" xfId="0" applyNumberFormat="1" applyFont="1" applyFill="1" applyBorder="1" applyAlignment="1">
      <alignment horizontal="center" vertical="center" wrapText="1" shrinkToFit="1"/>
    </xf>
    <xf numFmtId="49" fontId="5" fillId="6" borderId="31" xfId="0" applyNumberFormat="1" applyFont="1" applyFill="1" applyBorder="1" applyAlignment="1">
      <alignment horizontal="center" vertical="center" wrapText="1" shrinkToFit="1"/>
    </xf>
    <xf numFmtId="0" fontId="5" fillId="9" borderId="31" xfId="0" applyFont="1" applyFill="1" applyBorder="1" applyAlignment="1">
      <alignment horizontal="center" vertical="center" wrapText="1"/>
    </xf>
    <xf numFmtId="0" fontId="6" fillId="9" borderId="33" xfId="1" applyFont="1" applyFill="1" applyBorder="1" applyAlignment="1">
      <alignment horizontal="center" vertical="center" wrapText="1"/>
    </xf>
    <xf numFmtId="3" fontId="7" fillId="9" borderId="26" xfId="1" applyNumberFormat="1" applyFont="1" applyFill="1" applyBorder="1" applyAlignment="1">
      <alignment horizontal="right" vertical="center" wrapText="1"/>
    </xf>
    <xf numFmtId="4" fontId="5" fillId="9" borderId="26" xfId="0" applyNumberFormat="1" applyFont="1" applyFill="1" applyBorder="1" applyAlignment="1">
      <alignment horizontal="center" vertical="center" wrapText="1"/>
    </xf>
    <xf numFmtId="49" fontId="15" fillId="9" borderId="13" xfId="0" applyNumberFormat="1" applyFont="1" applyFill="1" applyBorder="1" applyAlignment="1">
      <alignment horizontal="center" vertical="center" wrapText="1"/>
    </xf>
    <xf numFmtId="49" fontId="15" fillId="9" borderId="15" xfId="0" applyNumberFormat="1" applyFont="1" applyFill="1" applyBorder="1" applyAlignment="1">
      <alignment horizontal="center" vertical="center" wrapText="1" shrinkToFit="1"/>
    </xf>
    <xf numFmtId="0" fontId="14" fillId="9" borderId="13" xfId="1" applyFont="1" applyFill="1" applyBorder="1" applyAlignment="1">
      <alignment horizontal="center" vertical="center" wrapText="1"/>
    </xf>
    <xf numFmtId="0" fontId="14" fillId="9" borderId="43" xfId="1" applyFont="1" applyFill="1" applyBorder="1" applyAlignment="1">
      <alignment horizontal="center" vertical="center" wrapText="1"/>
    </xf>
    <xf numFmtId="0" fontId="32" fillId="9" borderId="13" xfId="1" applyFont="1" applyFill="1" applyBorder="1" applyAlignment="1">
      <alignment horizontal="center" vertical="center" wrapText="1"/>
    </xf>
    <xf numFmtId="3" fontId="15" fillId="9" borderId="13" xfId="1" applyNumberFormat="1" applyFont="1" applyFill="1" applyBorder="1" applyAlignment="1">
      <alignment vertical="center" wrapText="1"/>
    </xf>
    <xf numFmtId="3" fontId="14" fillId="9" borderId="57" xfId="0" applyNumberFormat="1" applyFont="1" applyFill="1" applyBorder="1" applyAlignment="1">
      <alignment vertical="center" wrapText="1"/>
    </xf>
    <xf numFmtId="3" fontId="14" fillId="9" borderId="17" xfId="0" applyNumberFormat="1" applyFont="1" applyFill="1" applyBorder="1" applyAlignment="1">
      <alignment vertical="center" wrapText="1"/>
    </xf>
    <xf numFmtId="3" fontId="14" fillId="9" borderId="19" xfId="0" applyNumberFormat="1" applyFont="1" applyFill="1" applyBorder="1" applyAlignment="1">
      <alignment vertical="center" wrapText="1"/>
    </xf>
    <xf numFmtId="3" fontId="15" fillId="9" borderId="13" xfId="0" applyNumberFormat="1" applyFont="1" applyFill="1" applyBorder="1" applyAlignment="1">
      <alignment vertical="center" wrapText="1"/>
    </xf>
    <xf numFmtId="3" fontId="15" fillId="9" borderId="43" xfId="0" applyNumberFormat="1" applyFont="1" applyFill="1" applyBorder="1" applyAlignment="1">
      <alignment vertical="center" wrapText="1"/>
    </xf>
    <xf numFmtId="3" fontId="15" fillId="9" borderId="15" xfId="0" applyNumberFormat="1" applyFont="1" applyFill="1" applyBorder="1" applyAlignment="1">
      <alignment vertical="center" wrapText="1"/>
    </xf>
    <xf numFmtId="3" fontId="14" fillId="9" borderId="13" xfId="0" applyNumberFormat="1" applyFont="1" applyFill="1" applyBorder="1" applyAlignment="1">
      <alignment vertical="center" wrapText="1"/>
    </xf>
    <xf numFmtId="3" fontId="14" fillId="9" borderId="43" xfId="0" applyNumberFormat="1" applyFont="1" applyFill="1" applyBorder="1" applyAlignment="1">
      <alignment vertical="center" wrapText="1"/>
    </xf>
    <xf numFmtId="0" fontId="14" fillId="9" borderId="58" xfId="0" applyFont="1" applyFill="1" applyBorder="1" applyAlignment="1">
      <alignment horizontal="center" vertical="center" wrapText="1"/>
    </xf>
    <xf numFmtId="4" fontId="14" fillId="9" borderId="13" xfId="0" applyNumberFormat="1" applyFont="1" applyFill="1" applyBorder="1" applyAlignment="1">
      <alignment horizontal="center" vertical="center" wrapText="1"/>
    </xf>
    <xf numFmtId="49" fontId="14" fillId="9" borderId="15" xfId="0" applyNumberFormat="1" applyFont="1" applyFill="1" applyBorder="1" applyAlignment="1">
      <alignment horizontal="center" vertical="center" wrapText="1"/>
    </xf>
    <xf numFmtId="49" fontId="14" fillId="9" borderId="13" xfId="0" applyNumberFormat="1" applyFont="1" applyFill="1" applyBorder="1" applyAlignment="1">
      <alignment horizontal="center" vertical="center" wrapText="1"/>
    </xf>
    <xf numFmtId="49" fontId="5" fillId="9" borderId="13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 shrinkToFit="1"/>
    </xf>
    <xf numFmtId="3" fontId="5" fillId="5" borderId="43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9" fontId="10" fillId="9" borderId="23" xfId="0" applyNumberFormat="1" applyFont="1" applyFill="1" applyBorder="1" applyAlignment="1">
      <alignment horizontal="center" vertical="center" wrapText="1" shrinkToFit="1"/>
    </xf>
    <xf numFmtId="0" fontId="9" fillId="9" borderId="25" xfId="1" applyFont="1" applyFill="1" applyBorder="1" applyAlignment="1">
      <alignment horizontal="center" vertical="center" wrapText="1"/>
    </xf>
    <xf numFmtId="0" fontId="29" fillId="9" borderId="23" xfId="0" applyFont="1" applyFill="1" applyBorder="1" applyAlignment="1">
      <alignment horizontal="center" vertical="center" wrapText="1"/>
    </xf>
    <xf numFmtId="3" fontId="10" fillId="9" borderId="24" xfId="1" applyNumberFormat="1" applyFont="1" applyFill="1" applyBorder="1" applyAlignment="1">
      <alignment vertical="center" wrapText="1"/>
    </xf>
    <xf numFmtId="3" fontId="10" fillId="9" borderId="23" xfId="1" applyNumberFormat="1" applyFont="1" applyFill="1" applyBorder="1" applyAlignment="1">
      <alignment vertical="center" wrapText="1"/>
    </xf>
    <xf numFmtId="3" fontId="9" fillId="9" borderId="48" xfId="0" applyNumberFormat="1" applyFont="1" applyFill="1" applyBorder="1" applyAlignment="1">
      <alignment vertical="center" wrapText="1"/>
    </xf>
    <xf numFmtId="0" fontId="5" fillId="9" borderId="34" xfId="1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3" fontId="7" fillId="9" borderId="35" xfId="1" applyNumberFormat="1" applyFont="1" applyFill="1" applyBorder="1" applyAlignment="1">
      <alignment vertical="center" wrapText="1"/>
    </xf>
    <xf numFmtId="3" fontId="5" fillId="9" borderId="56" xfId="0" applyNumberFormat="1" applyFont="1" applyFill="1" applyBorder="1" applyAlignment="1">
      <alignment vertical="center" wrapText="1"/>
    </xf>
    <xf numFmtId="3" fontId="7" fillId="9" borderId="13" xfId="0" applyNumberFormat="1" applyFont="1" applyFill="1" applyBorder="1" applyAlignment="1">
      <alignment vertical="center" wrapText="1"/>
    </xf>
    <xf numFmtId="3" fontId="7" fillId="9" borderId="35" xfId="0" applyNumberFormat="1" applyFont="1" applyFill="1" applyBorder="1" applyAlignment="1">
      <alignment vertical="center" wrapText="1"/>
    </xf>
    <xf numFmtId="3" fontId="7" fillId="9" borderId="39" xfId="0" applyNumberFormat="1" applyFont="1" applyFill="1" applyBorder="1" applyAlignment="1">
      <alignment vertical="center" wrapText="1"/>
    </xf>
    <xf numFmtId="49" fontId="5" fillId="9" borderId="34" xfId="0" applyNumberFormat="1" applyFont="1" applyFill="1" applyBorder="1" applyAlignment="1">
      <alignment horizontal="center" vertical="center" wrapText="1"/>
    </xf>
    <xf numFmtId="49" fontId="5" fillId="9" borderId="15" xfId="0" applyNumberFormat="1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9" borderId="31" xfId="1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3" fontId="7" fillId="9" borderId="32" xfId="1" applyNumberFormat="1" applyFont="1" applyFill="1" applyBorder="1" applyAlignment="1">
      <alignment vertical="center" wrapText="1"/>
    </xf>
    <xf numFmtId="49" fontId="5" fillId="9" borderId="32" xfId="0" applyNumberFormat="1" applyFont="1" applyFill="1" applyBorder="1" applyAlignment="1">
      <alignment horizontal="center" vertical="center" wrapText="1" shrinkToFit="1"/>
    </xf>
    <xf numFmtId="0" fontId="5" fillId="9" borderId="37" xfId="1" applyFont="1" applyFill="1" applyBorder="1" applyAlignment="1">
      <alignment horizontal="center" vertical="center" wrapText="1"/>
    </xf>
    <xf numFmtId="3" fontId="15" fillId="9" borderId="26" xfId="0" applyNumberFormat="1" applyFont="1" applyFill="1" applyBorder="1" applyAlignment="1">
      <alignment vertical="center" wrapText="1"/>
    </xf>
    <xf numFmtId="3" fontId="11" fillId="9" borderId="32" xfId="0" applyNumberFormat="1" applyFont="1" applyFill="1" applyBorder="1" applyAlignment="1">
      <alignment vertical="center" wrapText="1"/>
    </xf>
    <xf numFmtId="49" fontId="5" fillId="9" borderId="31" xfId="0" applyNumberFormat="1" applyFont="1" applyFill="1" applyBorder="1" applyAlignment="1">
      <alignment horizontal="center" vertical="center"/>
    </xf>
    <xf numFmtId="49" fontId="15" fillId="9" borderId="33" xfId="0" applyNumberFormat="1" applyFont="1" applyFill="1" applyBorder="1" applyAlignment="1">
      <alignment horizontal="center" vertical="center" wrapText="1"/>
    </xf>
    <xf numFmtId="49" fontId="14" fillId="9" borderId="32" xfId="0" applyNumberFormat="1" applyFont="1" applyFill="1" applyBorder="1" applyAlignment="1">
      <alignment horizontal="center" vertical="center" wrapText="1" shrinkToFi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6" xfId="1" applyFont="1" applyFill="1" applyBorder="1" applyAlignment="1">
      <alignment horizontal="center" vertical="center" wrapText="1"/>
    </xf>
    <xf numFmtId="0" fontId="14" fillId="9" borderId="37" xfId="1" applyFont="1" applyFill="1" applyBorder="1" applyAlignment="1">
      <alignment horizontal="center" vertical="center" wrapText="1"/>
    </xf>
    <xf numFmtId="0" fontId="32" fillId="9" borderId="26" xfId="0" applyFont="1" applyFill="1" applyBorder="1" applyAlignment="1">
      <alignment horizontal="center" vertical="center" wrapText="1"/>
    </xf>
    <xf numFmtId="3" fontId="15" fillId="9" borderId="26" xfId="1" applyNumberFormat="1" applyFont="1" applyFill="1" applyBorder="1" applyAlignment="1">
      <alignment vertical="center" wrapText="1"/>
    </xf>
    <xf numFmtId="3" fontId="14" fillId="9" borderId="40" xfId="0" applyNumberFormat="1" applyFont="1" applyFill="1" applyBorder="1" applyAlignment="1">
      <alignment vertical="center" wrapText="1"/>
    </xf>
    <xf numFmtId="3" fontId="14" fillId="9" borderId="37" xfId="0" applyNumberFormat="1" applyFont="1" applyFill="1" applyBorder="1" applyAlignment="1">
      <alignment vertical="center" wrapText="1"/>
    </xf>
    <xf numFmtId="3" fontId="15" fillId="9" borderId="32" xfId="0" applyNumberFormat="1" applyFont="1" applyFill="1" applyBorder="1" applyAlignment="1">
      <alignment vertical="center" wrapText="1"/>
    </xf>
    <xf numFmtId="3" fontId="14" fillId="9" borderId="31" xfId="0" applyNumberFormat="1" applyFont="1" applyFill="1" applyBorder="1" applyAlignment="1">
      <alignment vertical="center" wrapText="1"/>
    </xf>
    <xf numFmtId="3" fontId="14" fillId="9" borderId="26" xfId="0" applyNumberFormat="1" applyFont="1" applyFill="1" applyBorder="1" applyAlignment="1">
      <alignment vertical="center" wrapText="1"/>
    </xf>
    <xf numFmtId="3" fontId="14" fillId="9" borderId="32" xfId="0" applyNumberFormat="1" applyFont="1" applyFill="1" applyBorder="1" applyAlignment="1">
      <alignment vertical="center" wrapText="1"/>
    </xf>
    <xf numFmtId="3" fontId="13" fillId="9" borderId="32" xfId="0" applyNumberFormat="1" applyFont="1" applyFill="1" applyBorder="1" applyAlignment="1">
      <alignment vertical="center" wrapText="1"/>
    </xf>
    <xf numFmtId="0" fontId="14" fillId="9" borderId="31" xfId="0" applyFont="1" applyFill="1" applyBorder="1" applyAlignment="1">
      <alignment horizontal="center" vertical="center" wrapText="1"/>
    </xf>
    <xf numFmtId="49" fontId="14" fillId="9" borderId="31" xfId="0" applyNumberFormat="1" applyFont="1" applyFill="1" applyBorder="1" applyAlignment="1">
      <alignment horizontal="center" vertical="center"/>
    </xf>
    <xf numFmtId="49" fontId="14" fillId="9" borderId="26" xfId="0" applyNumberFormat="1" applyFont="1" applyFill="1" applyBorder="1" applyAlignment="1">
      <alignment horizontal="center" vertical="center"/>
    </xf>
    <xf numFmtId="49" fontId="5" fillId="9" borderId="35" xfId="0" applyNumberFormat="1" applyFont="1" applyFill="1" applyBorder="1" applyAlignment="1">
      <alignment horizontal="center" vertical="center" wrapText="1" shrinkToFit="1"/>
    </xf>
    <xf numFmtId="0" fontId="5" fillId="9" borderId="33" xfId="1" applyFont="1" applyFill="1" applyBorder="1" applyAlignment="1">
      <alignment horizontal="center" vertical="center" wrapText="1"/>
    </xf>
    <xf numFmtId="3" fontId="5" fillId="9" borderId="29" xfId="0" applyNumberFormat="1" applyFont="1" applyFill="1" applyBorder="1" applyAlignment="1">
      <alignment vertical="center" wrapText="1"/>
    </xf>
    <xf numFmtId="49" fontId="7" fillId="9" borderId="14" xfId="0" applyNumberFormat="1" applyFont="1" applyFill="1" applyBorder="1" applyAlignment="1">
      <alignment horizontal="center" vertical="center" wrapText="1"/>
    </xf>
    <xf numFmtId="49" fontId="5" fillId="9" borderId="14" xfId="0" applyNumberFormat="1" applyFont="1" applyFill="1" applyBorder="1" applyAlignment="1">
      <alignment horizontal="center" vertical="center" wrapText="1" shrinkToFi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4" xfId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3" fontId="7" fillId="9" borderId="14" xfId="1" applyNumberFormat="1" applyFont="1" applyFill="1" applyBorder="1" applyAlignment="1">
      <alignment vertical="center" wrapText="1"/>
    </xf>
    <xf numFmtId="3" fontId="7" fillId="9" borderId="18" xfId="1" applyNumberFormat="1" applyFont="1" applyFill="1" applyBorder="1" applyAlignment="1">
      <alignment vertical="center" wrapText="1"/>
    </xf>
    <xf numFmtId="3" fontId="5" fillId="9" borderId="63" xfId="0" applyNumberFormat="1" applyFont="1" applyFill="1" applyBorder="1" applyAlignment="1">
      <alignment vertical="center" wrapText="1"/>
    </xf>
    <xf numFmtId="3" fontId="5" fillId="9" borderId="50" xfId="0" applyNumberFormat="1" applyFont="1" applyFill="1" applyBorder="1" applyAlignment="1">
      <alignment vertical="center" wrapText="1"/>
    </xf>
    <xf numFmtId="3" fontId="5" fillId="9" borderId="1" xfId="0" applyNumberFormat="1" applyFont="1" applyFill="1" applyBorder="1" applyAlignment="1">
      <alignment vertical="center" wrapText="1"/>
    </xf>
    <xf numFmtId="3" fontId="7" fillId="9" borderId="16" xfId="0" applyNumberFormat="1" applyFont="1" applyFill="1" applyBorder="1" applyAlignment="1">
      <alignment vertical="center" wrapText="1"/>
    </xf>
    <xf numFmtId="3" fontId="5" fillId="9" borderId="30" xfId="0" applyNumberFormat="1" applyFont="1" applyFill="1" applyBorder="1" applyAlignment="1">
      <alignment vertical="center" wrapText="1"/>
    </xf>
    <xf numFmtId="3" fontId="5" fillId="9" borderId="14" xfId="0" applyNumberFormat="1" applyFont="1" applyFill="1" applyBorder="1" applyAlignment="1">
      <alignment vertical="center" wrapText="1"/>
    </xf>
    <xf numFmtId="3" fontId="5" fillId="9" borderId="16" xfId="0" applyNumberFormat="1" applyFont="1" applyFill="1" applyBorder="1" applyAlignment="1">
      <alignment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49" fontId="5" fillId="9" borderId="30" xfId="0" applyNumberFormat="1" applyFont="1" applyFill="1" applyBorder="1" applyAlignment="1">
      <alignment horizontal="center" vertical="center"/>
    </xf>
    <xf numFmtId="3" fontId="5" fillId="9" borderId="55" xfId="0" applyNumberFormat="1" applyFont="1" applyFill="1" applyBorder="1" applyAlignment="1">
      <alignment vertical="center" wrapText="1"/>
    </xf>
    <xf numFmtId="3" fontId="5" fillId="9" borderId="23" xfId="0" applyNumberFormat="1" applyFont="1" applyFill="1" applyBorder="1" applyAlignment="1">
      <alignment horizontal="right" vertical="center" wrapText="1"/>
    </xf>
    <xf numFmtId="3" fontId="5" fillId="9" borderId="24" xfId="0" applyNumberFormat="1" applyFont="1" applyFill="1" applyBorder="1" applyAlignment="1">
      <alignment horizontal="right" vertical="center" wrapText="1"/>
    </xf>
    <xf numFmtId="3" fontId="5" fillId="9" borderId="26" xfId="0" applyNumberFormat="1" applyFont="1" applyFill="1" applyBorder="1" applyAlignment="1">
      <alignment horizontal="right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26" xfId="0" applyNumberFormat="1" applyFont="1" applyFill="1" applyBorder="1" applyAlignment="1">
      <alignment horizontal="center" vertical="center" wrapText="1"/>
    </xf>
    <xf numFmtId="49" fontId="7" fillId="9" borderId="14" xfId="0" applyNumberFormat="1" applyFont="1" applyFill="1" applyBorder="1" applyAlignment="1">
      <alignment horizontal="center" vertical="center" wrapText="1" shrinkToFit="1"/>
    </xf>
    <xf numFmtId="0" fontId="5" fillId="9" borderId="16" xfId="1" applyFont="1" applyFill="1" applyBorder="1" applyAlignment="1">
      <alignment horizontal="center" vertical="center" wrapText="1"/>
    </xf>
    <xf numFmtId="0" fontId="6" fillId="9" borderId="30" xfId="1" applyFont="1" applyFill="1" applyBorder="1" applyAlignment="1">
      <alignment horizontal="center" vertical="center" wrapText="1"/>
    </xf>
    <xf numFmtId="3" fontId="5" fillId="9" borderId="54" xfId="0" applyNumberFormat="1" applyFont="1" applyFill="1" applyBorder="1" applyAlignment="1">
      <alignment vertical="center" wrapText="1"/>
    </xf>
    <xf numFmtId="3" fontId="7" fillId="9" borderId="1" xfId="0" applyNumberFormat="1" applyFont="1" applyFill="1" applyBorder="1" applyAlignment="1">
      <alignment vertical="center" wrapText="1"/>
    </xf>
    <xf numFmtId="3" fontId="5" fillId="9" borderId="14" xfId="0" applyNumberFormat="1" applyFont="1" applyFill="1" applyBorder="1" applyAlignment="1">
      <alignment horizontal="right" vertical="center" wrapText="1"/>
    </xf>
    <xf numFmtId="3" fontId="5" fillId="9" borderId="16" xfId="0" applyNumberFormat="1" applyFont="1" applyFill="1" applyBorder="1" applyAlignment="1">
      <alignment horizontal="right" vertical="center" wrapText="1"/>
    </xf>
    <xf numFmtId="49" fontId="5" fillId="9" borderId="30" xfId="0" applyNumberFormat="1" applyFont="1" applyFill="1" applyBorder="1" applyAlignment="1">
      <alignment horizontal="center" vertical="center" wrapText="1"/>
    </xf>
    <xf numFmtId="0" fontId="5" fillId="9" borderId="30" xfId="0" applyNumberFormat="1" applyFont="1" applyFill="1" applyBorder="1" applyAlignment="1">
      <alignment horizontal="center" vertical="center" wrapText="1"/>
    </xf>
    <xf numFmtId="0" fontId="5" fillId="9" borderId="14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 shrinkToFit="1"/>
    </xf>
    <xf numFmtId="0" fontId="5" fillId="9" borderId="4" xfId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  <xf numFmtId="0" fontId="6" fillId="9" borderId="8" xfId="1" applyFont="1" applyFill="1" applyBorder="1" applyAlignment="1">
      <alignment horizontal="center" vertical="center" wrapText="1"/>
    </xf>
    <xf numFmtId="3" fontId="5" fillId="9" borderId="8" xfId="0" applyNumberFormat="1" applyFont="1" applyFill="1" applyBorder="1" applyAlignment="1">
      <alignment vertical="center" wrapText="1"/>
    </xf>
    <xf numFmtId="3" fontId="7" fillId="9" borderId="2" xfId="0" applyNumberFormat="1" applyFont="1" applyFill="1" applyBorder="1" applyAlignment="1">
      <alignment vertical="center" wrapText="1"/>
    </xf>
    <xf numFmtId="3" fontId="7" fillId="9" borderId="9" xfId="0" applyNumberFormat="1" applyFont="1" applyFill="1" applyBorder="1" applyAlignment="1">
      <alignment vertical="center" wrapText="1"/>
    </xf>
    <xf numFmtId="3" fontId="5" fillId="9" borderId="4" xfId="0" applyNumberFormat="1" applyFont="1" applyFill="1" applyBorder="1" applyAlignment="1">
      <alignment vertical="center" wrapText="1"/>
    </xf>
    <xf numFmtId="3" fontId="5" fillId="9" borderId="9" xfId="0" applyNumberFormat="1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 vertical="center" wrapText="1"/>
    </xf>
    <xf numFmtId="3" fontId="7" fillId="5" borderId="27" xfId="0" applyNumberFormat="1" applyFont="1" applyFill="1" applyBorder="1" applyAlignment="1">
      <alignment vertical="center"/>
    </xf>
    <xf numFmtId="0" fontId="28" fillId="5" borderId="14" xfId="0" applyFont="1" applyFill="1" applyBorder="1"/>
    <xf numFmtId="49" fontId="7" fillId="9" borderId="24" xfId="0" applyNumberFormat="1" applyFont="1" applyFill="1" applyBorder="1" applyAlignment="1">
      <alignment horizontal="center" vertical="center"/>
    </xf>
    <xf numFmtId="0" fontId="5" fillId="9" borderId="22" xfId="1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6" fillId="9" borderId="22" xfId="1" applyFont="1" applyFill="1" applyBorder="1" applyAlignment="1">
      <alignment horizontal="center" vertical="center" wrapText="1"/>
    </xf>
    <xf numFmtId="3" fontId="7" fillId="9" borderId="22" xfId="1" applyNumberFormat="1" applyFont="1" applyFill="1" applyBorder="1" applyAlignment="1">
      <alignment vertical="center"/>
    </xf>
    <xf numFmtId="3" fontId="7" fillId="9" borderId="26" xfId="1" applyNumberFormat="1" applyFont="1" applyFill="1" applyBorder="1" applyAlignment="1">
      <alignment vertical="center"/>
    </xf>
    <xf numFmtId="3" fontId="5" fillId="9" borderId="37" xfId="0" applyNumberFormat="1" applyFont="1" applyFill="1" applyBorder="1" applyAlignment="1">
      <alignment vertical="center"/>
    </xf>
    <xf numFmtId="3" fontId="7" fillId="9" borderId="24" xfId="0" applyNumberFormat="1" applyFont="1" applyFill="1" applyBorder="1" applyAlignment="1">
      <alignment vertical="center"/>
    </xf>
    <xf numFmtId="3" fontId="5" fillId="9" borderId="25" xfId="0" applyNumberFormat="1" applyFont="1" applyFill="1" applyBorder="1" applyAlignment="1">
      <alignment vertical="center"/>
    </xf>
    <xf numFmtId="3" fontId="5" fillId="9" borderId="23" xfId="0" applyNumberFormat="1" applyFont="1" applyFill="1" applyBorder="1" applyAlignment="1">
      <alignment vertical="center"/>
    </xf>
    <xf numFmtId="3" fontId="5" fillId="9" borderId="24" xfId="0" applyNumberFormat="1" applyFont="1" applyFill="1" applyBorder="1" applyAlignment="1">
      <alignment vertical="center"/>
    </xf>
    <xf numFmtId="0" fontId="5" fillId="9" borderId="26" xfId="0" applyFont="1" applyFill="1" applyBorder="1" applyAlignment="1">
      <alignment horizontal="center" vertical="center"/>
    </xf>
    <xf numFmtId="0" fontId="29" fillId="9" borderId="26" xfId="1" applyFont="1" applyFill="1" applyBorder="1" applyAlignment="1">
      <alignment horizontal="center" vertical="center" wrapText="1"/>
    </xf>
    <xf numFmtId="3" fontId="10" fillId="9" borderId="24" xfId="0" applyNumberFormat="1" applyFont="1" applyFill="1" applyBorder="1" applyAlignment="1">
      <alignment vertical="center"/>
    </xf>
    <xf numFmtId="3" fontId="9" fillId="9" borderId="23" xfId="0" applyNumberFormat="1" applyFont="1" applyFill="1" applyBorder="1" applyAlignment="1">
      <alignment vertical="center"/>
    </xf>
    <xf numFmtId="49" fontId="7" fillId="9" borderId="23" xfId="0" applyNumberFormat="1" applyFont="1" applyFill="1" applyBorder="1" applyAlignment="1">
      <alignment horizontal="center" vertical="center"/>
    </xf>
    <xf numFmtId="0" fontId="5" fillId="9" borderId="37" xfId="1" applyFont="1" applyFill="1" applyBorder="1" applyAlignment="1">
      <alignment horizontal="center" vertical="center"/>
    </xf>
    <xf numFmtId="0" fontId="6" fillId="9" borderId="26" xfId="1" applyFont="1" applyFill="1" applyBorder="1" applyAlignment="1">
      <alignment horizontal="center" vertical="center" wrapText="1"/>
    </xf>
    <xf numFmtId="3" fontId="7" fillId="9" borderId="2" xfId="1" applyNumberFormat="1" applyFont="1" applyFill="1" applyBorder="1" applyAlignment="1">
      <alignment vertical="center"/>
    </xf>
    <xf numFmtId="3" fontId="5" fillId="9" borderId="37" xfId="1" applyNumberFormat="1" applyFont="1" applyFill="1" applyBorder="1" applyAlignment="1">
      <alignment vertical="center"/>
    </xf>
    <xf numFmtId="3" fontId="5" fillId="9" borderId="31" xfId="0" applyNumberFormat="1" applyFont="1" applyFill="1" applyBorder="1" applyAlignment="1">
      <alignment vertical="center"/>
    </xf>
    <xf numFmtId="3" fontId="5" fillId="9" borderId="26" xfId="0" applyNumberFormat="1" applyFont="1" applyFill="1" applyBorder="1" applyAlignment="1">
      <alignment horizontal="right" vertical="center"/>
    </xf>
    <xf numFmtId="3" fontId="5" fillId="9" borderId="32" xfId="0" applyNumberFormat="1" applyFont="1" applyFill="1" applyBorder="1" applyAlignment="1">
      <alignment horizontal="right" vertical="center"/>
    </xf>
    <xf numFmtId="49" fontId="5" fillId="9" borderId="41" xfId="0" applyNumberFormat="1" applyFont="1" applyFill="1" applyBorder="1" applyAlignment="1">
      <alignment horizontal="center" vertical="center"/>
    </xf>
    <xf numFmtId="49" fontId="7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wrapText="1"/>
    </xf>
    <xf numFmtId="3" fontId="5" fillId="9" borderId="59" xfId="0" applyNumberFormat="1" applyFont="1" applyFill="1" applyBorder="1" applyAlignment="1">
      <alignment vertical="center"/>
    </xf>
    <xf numFmtId="3" fontId="5" fillId="9" borderId="44" xfId="0" applyNumberFormat="1" applyFont="1" applyFill="1" applyBorder="1" applyAlignment="1">
      <alignment vertical="center"/>
    </xf>
    <xf numFmtId="3" fontId="5" fillId="9" borderId="4" xfId="1" applyNumberFormat="1" applyFont="1" applyFill="1" applyBorder="1" applyAlignment="1">
      <alignment vertical="center"/>
    </xf>
    <xf numFmtId="3" fontId="7" fillId="9" borderId="2" xfId="0" applyNumberFormat="1" applyFont="1" applyFill="1" applyBorder="1" applyAlignment="1">
      <alignment vertical="center"/>
    </xf>
    <xf numFmtId="3" fontId="5" fillId="9" borderId="4" xfId="0" applyNumberFormat="1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vertical="center"/>
    </xf>
    <xf numFmtId="3" fontId="5" fillId="9" borderId="9" xfId="0" applyNumberFormat="1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horizontal="right" vertical="center"/>
    </xf>
    <xf numFmtId="49" fontId="5" fillId="9" borderId="2" xfId="0" applyNumberFormat="1" applyFont="1" applyFill="1" applyBorder="1" applyAlignment="1">
      <alignment horizontal="center" vertical="center"/>
    </xf>
    <xf numFmtId="49" fontId="5" fillId="9" borderId="4" xfId="0" applyNumberFormat="1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wrapText="1"/>
    </xf>
    <xf numFmtId="3" fontId="5" fillId="9" borderId="31" xfId="1" applyNumberFormat="1" applyFont="1" applyFill="1" applyBorder="1" applyAlignment="1">
      <alignment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3" fontId="14" fillId="5" borderId="26" xfId="0" applyNumberFormat="1" applyFont="1" applyFill="1" applyBorder="1" applyAlignment="1">
      <alignment vertical="center"/>
    </xf>
    <xf numFmtId="3" fontId="11" fillId="5" borderId="13" xfId="0" applyNumberFormat="1" applyFont="1" applyFill="1" applyBorder="1" applyAlignment="1">
      <alignment vertical="center"/>
    </xf>
    <xf numFmtId="0" fontId="13" fillId="0" borderId="23" xfId="1" applyFont="1" applyFill="1" applyBorder="1" applyAlignment="1">
      <alignment horizontal="center" vertical="center"/>
    </xf>
    <xf numFmtId="0" fontId="33" fillId="0" borderId="23" xfId="1" applyFont="1" applyFill="1" applyBorder="1" applyAlignment="1">
      <alignment horizontal="center" vertical="center" wrapText="1"/>
    </xf>
    <xf numFmtId="3" fontId="20" fillId="0" borderId="23" xfId="1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3" fontId="13" fillId="5" borderId="26" xfId="0" applyNumberFormat="1" applyFont="1" applyFill="1" applyBorder="1" applyAlignment="1">
      <alignment vertical="center"/>
    </xf>
    <xf numFmtId="3" fontId="20" fillId="4" borderId="26" xfId="0" applyNumberFormat="1" applyFont="1" applyFill="1" applyBorder="1" applyAlignment="1">
      <alignment vertical="center"/>
    </xf>
    <xf numFmtId="3" fontId="20" fillId="5" borderId="24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3" fontId="5" fillId="6" borderId="37" xfId="0" applyNumberFormat="1" applyFont="1" applyFill="1" applyBorder="1" applyAlignment="1">
      <alignment horizontal="right" vertical="center"/>
    </xf>
    <xf numFmtId="3" fontId="5" fillId="6" borderId="27" xfId="0" applyNumberFormat="1" applyFont="1" applyFill="1" applyBorder="1" applyAlignment="1">
      <alignment horizontal="right" vertical="center"/>
    </xf>
    <xf numFmtId="3" fontId="7" fillId="6" borderId="41" xfId="0" applyNumberFormat="1" applyFont="1" applyFill="1" applyBorder="1" applyAlignment="1">
      <alignment vertical="center" wrapText="1"/>
    </xf>
    <xf numFmtId="3" fontId="20" fillId="0" borderId="31" xfId="1" applyNumberFormat="1" applyFont="1" applyBorder="1" applyAlignment="1">
      <alignment vertical="center" wrapText="1"/>
    </xf>
    <xf numFmtId="3" fontId="15" fillId="10" borderId="31" xfId="0" applyNumberFormat="1" applyFont="1" applyFill="1" applyBorder="1" applyAlignment="1">
      <alignment vertical="center" wrapText="1"/>
    </xf>
    <xf numFmtId="3" fontId="7" fillId="9" borderId="13" xfId="1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3" fontId="7" fillId="9" borderId="28" xfId="1" applyNumberFormat="1" applyFont="1" applyFill="1" applyBorder="1" applyAlignment="1">
      <alignment vertical="center" wrapText="1"/>
    </xf>
    <xf numFmtId="3" fontId="7" fillId="6" borderId="25" xfId="1" applyNumberFormat="1" applyFont="1" applyFill="1" applyBorder="1" applyAlignment="1">
      <alignment vertical="center" wrapText="1"/>
    </xf>
    <xf numFmtId="3" fontId="7" fillId="9" borderId="30" xfId="1" applyNumberFormat="1" applyFont="1" applyFill="1" applyBorder="1" applyAlignment="1">
      <alignment vertical="center" wrapText="1"/>
    </xf>
    <xf numFmtId="3" fontId="11" fillId="0" borderId="51" xfId="0" applyNumberFormat="1" applyFont="1" applyBorder="1" applyAlignment="1">
      <alignment vertical="center" wrapText="1"/>
    </xf>
    <xf numFmtId="3" fontId="15" fillId="5" borderId="26" xfId="0" applyNumberFormat="1" applyFont="1" applyFill="1" applyBorder="1" applyAlignment="1">
      <alignment vertical="center" wrapText="1"/>
    </xf>
    <xf numFmtId="3" fontId="14" fillId="0" borderId="32" xfId="0" applyNumberFormat="1" applyFont="1" applyBorder="1" applyAlignment="1">
      <alignment vertical="center"/>
    </xf>
    <xf numFmtId="3" fontId="14" fillId="0" borderId="45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5" fillId="0" borderId="61" xfId="0" applyNumberFormat="1" applyFont="1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 wrapText="1"/>
    </xf>
    <xf numFmtId="3" fontId="7" fillId="6" borderId="4" xfId="1" applyNumberFormat="1" applyFont="1" applyFill="1" applyBorder="1" applyAlignment="1">
      <alignment vertical="center" wrapText="1"/>
    </xf>
    <xf numFmtId="49" fontId="15" fillId="9" borderId="26" xfId="0" applyNumberFormat="1" applyFont="1" applyFill="1" applyBorder="1" applyAlignment="1">
      <alignment horizontal="center" vertical="center" wrapText="1"/>
    </xf>
    <xf numFmtId="0" fontId="32" fillId="9" borderId="31" xfId="0" applyFont="1" applyFill="1" applyBorder="1" applyAlignment="1">
      <alignment horizontal="center" vertical="center" wrapText="1"/>
    </xf>
    <xf numFmtId="3" fontId="15" fillId="9" borderId="31" xfId="0" applyNumberFormat="1" applyFont="1" applyFill="1" applyBorder="1" applyAlignment="1">
      <alignment vertical="center" wrapText="1"/>
    </xf>
    <xf numFmtId="3" fontId="5" fillId="9" borderId="37" xfId="3" applyNumberFormat="1" applyFont="1" applyFill="1" applyBorder="1" applyAlignment="1">
      <alignment vertical="center"/>
    </xf>
    <xf numFmtId="3" fontId="13" fillId="9" borderId="26" xfId="3" applyNumberFormat="1" applyFont="1" applyFill="1" applyBorder="1" applyAlignment="1">
      <alignment vertical="center"/>
    </xf>
    <xf numFmtId="3" fontId="14" fillId="9" borderId="32" xfId="0" applyNumberFormat="1" applyFont="1" applyFill="1" applyBorder="1" applyAlignment="1">
      <alignment vertical="center"/>
    </xf>
    <xf numFmtId="3" fontId="14" fillId="9" borderId="45" xfId="0" applyNumberFormat="1" applyFont="1" applyFill="1" applyBorder="1" applyAlignment="1">
      <alignment vertical="center"/>
    </xf>
    <xf numFmtId="3" fontId="14" fillId="9" borderId="26" xfId="0" applyNumberFormat="1" applyFont="1" applyFill="1" applyBorder="1" applyAlignment="1">
      <alignment vertical="center"/>
    </xf>
    <xf numFmtId="49" fontId="14" fillId="9" borderId="36" xfId="0" applyNumberFormat="1" applyFont="1" applyFill="1" applyBorder="1" applyAlignment="1">
      <alignment horizontal="center" vertical="center" wrapText="1"/>
    </xf>
    <xf numFmtId="49" fontId="14" fillId="9" borderId="26" xfId="0" applyNumberFormat="1" applyFont="1" applyFill="1" applyBorder="1" applyAlignment="1">
      <alignment horizontal="center" vertical="center" wrapText="1"/>
    </xf>
    <xf numFmtId="49" fontId="14" fillId="9" borderId="31" xfId="0" applyNumberFormat="1" applyFont="1" applyFill="1" applyBorder="1" applyAlignment="1">
      <alignment horizontal="center" vertical="center" wrapText="1"/>
    </xf>
    <xf numFmtId="0" fontId="9" fillId="9" borderId="32" xfId="1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3" fontId="9" fillId="9" borderId="40" xfId="0" applyNumberFormat="1" applyFont="1" applyFill="1" applyBorder="1" applyAlignment="1">
      <alignment vertical="center" wrapText="1"/>
    </xf>
    <xf numFmtId="3" fontId="9" fillId="9" borderId="37" xfId="0" applyNumberFormat="1" applyFont="1" applyFill="1" applyBorder="1" applyAlignment="1">
      <alignment vertical="center" wrapText="1"/>
    </xf>
    <xf numFmtId="3" fontId="9" fillId="9" borderId="26" xfId="3" applyNumberFormat="1" applyFont="1" applyFill="1" applyBorder="1" applyAlignment="1">
      <alignment vertical="center"/>
    </xf>
    <xf numFmtId="49" fontId="7" fillId="9" borderId="23" xfId="0" applyNumberFormat="1" applyFont="1" applyFill="1" applyBorder="1" applyAlignment="1">
      <alignment horizontal="center" vertical="center" wrapText="1" shrinkToFit="1"/>
    </xf>
    <xf numFmtId="0" fontId="5" fillId="9" borderId="23" xfId="1" applyFont="1" applyFill="1" applyBorder="1" applyAlignment="1">
      <alignment horizontal="center" vertical="center" wrapText="1"/>
    </xf>
    <xf numFmtId="0" fontId="5" fillId="9" borderId="24" xfId="1" applyFont="1" applyFill="1" applyBorder="1" applyAlignment="1">
      <alignment horizontal="center" vertical="center" wrapText="1"/>
    </xf>
    <xf numFmtId="3" fontId="5" fillId="9" borderId="27" xfId="0" applyNumberFormat="1" applyFont="1" applyFill="1" applyBorder="1" applyAlignment="1">
      <alignment vertical="center"/>
    </xf>
    <xf numFmtId="49" fontId="5" fillId="9" borderId="25" xfId="1" applyNumberFormat="1" applyFont="1" applyFill="1" applyBorder="1" applyAlignment="1">
      <alignment horizontal="center" vertical="center" wrapText="1"/>
    </xf>
    <xf numFmtId="49" fontId="5" fillId="9" borderId="4" xfId="1" applyNumberFormat="1" applyFont="1" applyFill="1" applyBorder="1" applyAlignment="1">
      <alignment horizontal="center" vertical="center" wrapText="1"/>
    </xf>
    <xf numFmtId="49" fontId="5" fillId="9" borderId="2" xfId="1" applyNumberFormat="1" applyFont="1" applyFill="1" applyBorder="1" applyAlignment="1">
      <alignment horizontal="center" vertical="center" wrapText="1"/>
    </xf>
    <xf numFmtId="49" fontId="5" fillId="9" borderId="31" xfId="1" applyNumberFormat="1" applyFont="1" applyFill="1" applyBorder="1" applyAlignment="1">
      <alignment horizontal="center" vertical="center" wrapText="1"/>
    </xf>
    <xf numFmtId="49" fontId="5" fillId="9" borderId="26" xfId="1" applyNumberFormat="1" applyFont="1" applyFill="1" applyBorder="1" applyAlignment="1">
      <alignment horizontal="center" vertical="center" wrapText="1"/>
    </xf>
    <xf numFmtId="49" fontId="5" fillId="9" borderId="22" xfId="0" applyNumberFormat="1" applyFont="1" applyFill="1" applyBorder="1" applyAlignment="1">
      <alignment horizontal="center" vertical="center" wrapText="1"/>
    </xf>
    <xf numFmtId="49" fontId="5" fillId="9" borderId="23" xfId="0" applyNumberFormat="1" applyFont="1" applyFill="1" applyBorder="1" applyAlignment="1">
      <alignment horizontal="center" vertical="center" wrapText="1"/>
    </xf>
    <xf numFmtId="0" fontId="5" fillId="9" borderId="25" xfId="1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49" fontId="10" fillId="9" borderId="22" xfId="0" applyNumberFormat="1" applyFont="1" applyFill="1" applyBorder="1" applyAlignment="1">
      <alignment horizontal="center" vertical="center" wrapText="1"/>
    </xf>
    <xf numFmtId="49" fontId="9" fillId="9" borderId="24" xfId="0" applyNumberFormat="1" applyFont="1" applyFill="1" applyBorder="1" applyAlignment="1">
      <alignment horizontal="center" vertical="center" wrapText="1" shrinkToFit="1"/>
    </xf>
    <xf numFmtId="0" fontId="9" fillId="9" borderId="23" xfId="1" applyFont="1" applyFill="1" applyBorder="1" applyAlignment="1">
      <alignment horizontal="center" vertical="center" wrapText="1"/>
    </xf>
    <xf numFmtId="0" fontId="9" fillId="9" borderId="24" xfId="1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3" fontId="9" fillId="9" borderId="25" xfId="0" applyNumberFormat="1" applyFont="1" applyFill="1" applyBorder="1" applyAlignment="1">
      <alignment vertical="center" wrapText="1"/>
    </xf>
    <xf numFmtId="0" fontId="9" fillId="9" borderId="25" xfId="0" applyFont="1" applyFill="1" applyBorder="1" applyAlignment="1">
      <alignment horizontal="center" vertical="center" wrapText="1"/>
    </xf>
    <xf numFmtId="49" fontId="9" fillId="9" borderId="25" xfId="0" applyNumberFormat="1" applyFont="1" applyFill="1" applyBorder="1" applyAlignment="1">
      <alignment horizontal="center" vertical="center"/>
    </xf>
    <xf numFmtId="49" fontId="9" fillId="9" borderId="4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/>
    </xf>
    <xf numFmtId="3" fontId="5" fillId="9" borderId="43" xfId="0" applyNumberFormat="1" applyFont="1" applyFill="1" applyBorder="1" applyAlignment="1">
      <alignment vertical="center" wrapText="1"/>
    </xf>
    <xf numFmtId="49" fontId="5" fillId="9" borderId="36" xfId="0" applyNumberFormat="1" applyFont="1" applyFill="1" applyBorder="1" applyAlignment="1">
      <alignment horizontal="center" vertical="center" wrapText="1"/>
    </xf>
    <xf numFmtId="3" fontId="5" fillId="9" borderId="26" xfId="3" applyNumberFormat="1" applyFill="1" applyBorder="1" applyAlignment="1">
      <alignment vertical="center"/>
    </xf>
    <xf numFmtId="3" fontId="20" fillId="10" borderId="31" xfId="1" applyNumberFormat="1" applyFont="1" applyFill="1" applyBorder="1" applyAlignment="1">
      <alignment vertical="center" wrapText="1"/>
    </xf>
    <xf numFmtId="0" fontId="5" fillId="9" borderId="27" xfId="1" applyFont="1" applyFill="1" applyBorder="1" applyAlignment="1">
      <alignment horizontal="center" vertical="center" wrapText="1"/>
    </xf>
    <xf numFmtId="3" fontId="7" fillId="9" borderId="26" xfId="0" applyNumberFormat="1" applyFont="1" applyFill="1" applyBorder="1" applyAlignment="1">
      <alignment horizontal="right" vertical="center"/>
    </xf>
    <xf numFmtId="0" fontId="6" fillId="9" borderId="26" xfId="5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3" fontId="10" fillId="9" borderId="25" xfId="1" applyNumberFormat="1" applyFont="1" applyFill="1" applyBorder="1" applyAlignment="1">
      <alignment vertical="center" wrapText="1"/>
    </xf>
    <xf numFmtId="3" fontId="15" fillId="0" borderId="25" xfId="1" applyNumberFormat="1" applyFont="1" applyFill="1" applyBorder="1" applyAlignment="1">
      <alignment vertical="center" wrapText="1"/>
    </xf>
    <xf numFmtId="3" fontId="10" fillId="0" borderId="4" xfId="1" applyNumberFormat="1" applyFont="1" applyFill="1" applyBorder="1" applyAlignment="1">
      <alignment vertical="center" wrapText="1"/>
    </xf>
    <xf numFmtId="3" fontId="15" fillId="0" borderId="15" xfId="1" applyNumberFormat="1" applyFont="1" applyFill="1" applyBorder="1" applyAlignment="1">
      <alignment vertical="center" wrapText="1"/>
    </xf>
    <xf numFmtId="3" fontId="15" fillId="9" borderId="31" xfId="1" applyNumberFormat="1" applyFont="1" applyFill="1" applyBorder="1" applyAlignment="1">
      <alignment vertical="center" wrapText="1"/>
    </xf>
    <xf numFmtId="3" fontId="7" fillId="0" borderId="15" xfId="1" applyNumberFormat="1" applyFont="1" applyBorder="1" applyAlignment="1">
      <alignment vertical="center" wrapText="1"/>
    </xf>
    <xf numFmtId="3" fontId="15" fillId="0" borderId="25" xfId="1" applyNumberFormat="1" applyFont="1" applyBorder="1" applyAlignment="1">
      <alignment vertical="center" wrapText="1"/>
    </xf>
    <xf numFmtId="3" fontId="20" fillId="0" borderId="15" xfId="1" applyNumberFormat="1" applyFont="1" applyBorder="1" applyAlignment="1">
      <alignment vertical="center" wrapText="1"/>
    </xf>
    <xf numFmtId="3" fontId="7" fillId="14" borderId="25" xfId="1" applyNumberFormat="1" applyFont="1" applyFill="1" applyBorder="1" applyAlignment="1">
      <alignment vertical="center" wrapText="1"/>
    </xf>
    <xf numFmtId="3" fontId="7" fillId="9" borderId="4" xfId="1" applyNumberFormat="1" applyFont="1" applyFill="1" applyBorder="1" applyAlignment="1">
      <alignment vertical="center"/>
    </xf>
    <xf numFmtId="3" fontId="7" fillId="6" borderId="25" xfId="1" applyNumberFormat="1" applyFont="1" applyFill="1" applyBorder="1" applyAlignment="1">
      <alignment vertical="center"/>
    </xf>
    <xf numFmtId="166" fontId="7" fillId="7" borderId="11" xfId="1" applyNumberFormat="1" applyFont="1" applyFill="1" applyBorder="1" applyAlignment="1">
      <alignment vertical="center" wrapText="1"/>
    </xf>
    <xf numFmtId="3" fontId="14" fillId="9" borderId="37" xfId="3" applyNumberFormat="1" applyFont="1" applyFill="1" applyBorder="1" applyAlignment="1">
      <alignment vertical="center"/>
    </xf>
    <xf numFmtId="3" fontId="9" fillId="5" borderId="23" xfId="0" applyNumberFormat="1" applyFont="1" applyFill="1" applyBorder="1" applyAlignment="1">
      <alignment vertical="center" wrapText="1"/>
    </xf>
    <xf numFmtId="49" fontId="7" fillId="6" borderId="23" xfId="0" applyNumberFormat="1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 wrapText="1"/>
    </xf>
    <xf numFmtId="3" fontId="5" fillId="6" borderId="51" xfId="0" applyNumberFormat="1" applyFont="1" applyFill="1" applyBorder="1" applyAlignment="1">
      <alignment vertical="center"/>
    </xf>
    <xf numFmtId="3" fontId="5" fillId="6" borderId="25" xfId="1" applyNumberFormat="1" applyFont="1" applyFill="1" applyBorder="1" applyAlignment="1">
      <alignment vertical="center"/>
    </xf>
    <xf numFmtId="3" fontId="5" fillId="6" borderId="25" xfId="0" applyNumberFormat="1" applyFont="1" applyFill="1" applyBorder="1" applyAlignment="1">
      <alignment vertical="center"/>
    </xf>
    <xf numFmtId="49" fontId="5" fillId="6" borderId="23" xfId="0" applyNumberFormat="1" applyFont="1" applyFill="1" applyBorder="1" applyAlignment="1">
      <alignment horizontal="center" vertical="center"/>
    </xf>
    <xf numFmtId="49" fontId="5" fillId="6" borderId="25" xfId="0" applyNumberFormat="1" applyFont="1" applyFill="1" applyBorder="1" applyAlignment="1">
      <alignment horizontal="center" vertical="center"/>
    </xf>
    <xf numFmtId="49" fontId="10" fillId="9" borderId="13" xfId="0" applyNumberFormat="1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3" fontId="10" fillId="9" borderId="13" xfId="1" applyNumberFormat="1" applyFont="1" applyFill="1" applyBorder="1" applyAlignment="1">
      <alignment vertical="center"/>
    </xf>
    <xf numFmtId="3" fontId="9" fillId="9" borderId="17" xfId="0" applyNumberFormat="1" applyFont="1" applyFill="1" applyBorder="1" applyAlignment="1">
      <alignment vertical="center"/>
    </xf>
    <xf numFmtId="3" fontId="9" fillId="9" borderId="15" xfId="1" applyNumberFormat="1" applyFont="1" applyFill="1" applyBorder="1" applyAlignment="1">
      <alignment vertical="center"/>
    </xf>
    <xf numFmtId="3" fontId="15" fillId="0" borderId="2" xfId="1" applyNumberFormat="1" applyFont="1" applyFill="1" applyBorder="1" applyAlignment="1">
      <alignment vertical="center" wrapText="1"/>
    </xf>
    <xf numFmtId="3" fontId="10" fillId="9" borderId="31" xfId="0" applyNumberFormat="1" applyFont="1" applyFill="1" applyBorder="1" applyAlignment="1">
      <alignment vertical="center"/>
    </xf>
    <xf numFmtId="3" fontId="15" fillId="9" borderId="15" xfId="1" applyNumberFormat="1" applyFont="1" applyFill="1" applyBorder="1" applyAlignment="1">
      <alignment vertical="center" wrapText="1"/>
    </xf>
    <xf numFmtId="3" fontId="7" fillId="7" borderId="30" xfId="1" applyNumberFormat="1" applyFont="1" applyFill="1" applyBorder="1" applyAlignment="1">
      <alignment vertical="center" wrapText="1"/>
    </xf>
    <xf numFmtId="3" fontId="7" fillId="0" borderId="25" xfId="1" applyNumberFormat="1" applyFont="1" applyFill="1" applyBorder="1" applyAlignment="1">
      <alignment vertical="center"/>
    </xf>
    <xf numFmtId="3" fontId="20" fillId="0" borderId="25" xfId="1" applyNumberFormat="1" applyFont="1" applyFill="1" applyBorder="1" applyAlignment="1">
      <alignment vertical="center"/>
    </xf>
    <xf numFmtId="3" fontId="7" fillId="9" borderId="28" xfId="1" applyNumberFormat="1" applyFont="1" applyFill="1" applyBorder="1" applyAlignment="1">
      <alignment vertical="center"/>
    </xf>
    <xf numFmtId="3" fontId="7" fillId="9" borderId="37" xfId="1" applyNumberFormat="1" applyFont="1" applyFill="1" applyBorder="1" applyAlignment="1">
      <alignment vertical="center"/>
    </xf>
    <xf numFmtId="3" fontId="7" fillId="0" borderId="37" xfId="1" applyNumberFormat="1" applyFont="1" applyFill="1" applyBorder="1" applyAlignment="1">
      <alignment vertical="center"/>
    </xf>
    <xf numFmtId="3" fontId="10" fillId="0" borderId="37" xfId="1" applyNumberFormat="1" applyFont="1" applyFill="1" applyBorder="1" applyAlignment="1">
      <alignment vertical="center"/>
    </xf>
    <xf numFmtId="3" fontId="15" fillId="0" borderId="37" xfId="1" applyNumberFormat="1" applyFont="1" applyFill="1" applyBorder="1" applyAlignment="1">
      <alignment vertical="center"/>
    </xf>
    <xf numFmtId="3" fontId="12" fillId="0" borderId="37" xfId="1" applyNumberFormat="1" applyFont="1" applyFill="1" applyBorder="1" applyAlignment="1">
      <alignment vertical="center"/>
    </xf>
    <xf numFmtId="3" fontId="10" fillId="9" borderId="15" xfId="1" applyNumberFormat="1" applyFont="1" applyFill="1" applyBorder="1" applyAlignment="1">
      <alignment vertical="center"/>
    </xf>
    <xf numFmtId="49" fontId="10" fillId="9" borderId="13" xfId="0" applyNumberFormat="1" applyFont="1" applyFill="1" applyBorder="1" applyAlignment="1">
      <alignment horizontal="center" vertical="center" wrapText="1"/>
    </xf>
    <xf numFmtId="49" fontId="10" fillId="9" borderId="13" xfId="0" applyNumberFormat="1" applyFont="1" applyFill="1" applyBorder="1" applyAlignment="1">
      <alignment horizontal="center" vertical="center" wrapText="1" shrinkToFit="1"/>
    </xf>
    <xf numFmtId="0" fontId="9" fillId="9" borderId="15" xfId="1" applyFont="1" applyFill="1" applyBorder="1" applyAlignment="1">
      <alignment horizontal="center" vertical="center" wrapText="1"/>
    </xf>
    <xf numFmtId="0" fontId="9" fillId="9" borderId="13" xfId="1" applyFont="1" applyFill="1" applyBorder="1" applyAlignment="1">
      <alignment horizontal="center" vertical="center" wrapText="1"/>
    </xf>
    <xf numFmtId="3" fontId="10" fillId="9" borderId="13" xfId="1" applyNumberFormat="1" applyFont="1" applyFill="1" applyBorder="1" applyAlignment="1">
      <alignment vertical="center" wrapText="1"/>
    </xf>
    <xf numFmtId="3" fontId="10" fillId="9" borderId="15" xfId="1" applyNumberFormat="1" applyFont="1" applyFill="1" applyBorder="1" applyAlignment="1">
      <alignment vertical="center" wrapText="1"/>
    </xf>
    <xf numFmtId="3" fontId="9" fillId="9" borderId="17" xfId="0" applyNumberFormat="1" applyFont="1" applyFill="1" applyBorder="1" applyAlignment="1">
      <alignment vertical="center" wrapText="1"/>
    </xf>
    <xf numFmtId="3" fontId="9" fillId="9" borderId="19" xfId="0" applyNumberFormat="1" applyFont="1" applyFill="1" applyBorder="1" applyAlignment="1">
      <alignment vertical="center" wrapText="1"/>
    </xf>
    <xf numFmtId="3" fontId="10" fillId="9" borderId="13" xfId="0" applyNumberFormat="1" applyFont="1" applyFill="1" applyBorder="1" applyAlignment="1">
      <alignment vertical="center" wrapText="1"/>
    </xf>
    <xf numFmtId="3" fontId="9" fillId="9" borderId="13" xfId="0" applyNumberFormat="1" applyFont="1" applyFill="1" applyBorder="1" applyAlignment="1">
      <alignment vertical="center" wrapText="1"/>
    </xf>
    <xf numFmtId="3" fontId="9" fillId="9" borderId="43" xfId="0" applyNumberFormat="1" applyFont="1" applyFill="1" applyBorder="1" applyAlignment="1">
      <alignment vertical="center" wrapText="1"/>
    </xf>
    <xf numFmtId="3" fontId="9" fillId="9" borderId="43" xfId="0" applyNumberFormat="1" applyFont="1" applyFill="1" applyBorder="1" applyAlignment="1">
      <alignment horizontal="right" vertical="center" wrapText="1"/>
    </xf>
    <xf numFmtId="49" fontId="9" fillId="9" borderId="13" xfId="0" applyNumberFormat="1" applyFont="1" applyFill="1" applyBorder="1" applyAlignment="1">
      <alignment horizontal="center" vertical="center" wrapText="1"/>
    </xf>
    <xf numFmtId="49" fontId="9" fillId="9" borderId="15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37" fillId="0" borderId="0" xfId="0" applyFont="1"/>
    <xf numFmtId="0" fontId="6" fillId="7" borderId="32" xfId="0" applyFont="1" applyFill="1" applyBorder="1" applyAlignment="1">
      <alignment horizontal="center"/>
    </xf>
    <xf numFmtId="3" fontId="7" fillId="6" borderId="24" xfId="0" applyNumberFormat="1" applyFont="1" applyFill="1" applyBorder="1" applyAlignment="1">
      <alignment horizontal="right" vertical="center"/>
    </xf>
    <xf numFmtId="3" fontId="7" fillId="6" borderId="32" xfId="0" applyNumberFormat="1" applyFont="1" applyFill="1" applyBorder="1" applyAlignment="1">
      <alignment horizontal="right" vertical="center"/>
    </xf>
    <xf numFmtId="3" fontId="7" fillId="6" borderId="36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5" fillId="0" borderId="6" xfId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49" fontId="5" fillId="6" borderId="2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vertical="center"/>
    </xf>
    <xf numFmtId="4" fontId="11" fillId="0" borderId="4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14" fillId="0" borderId="58" xfId="0" applyNumberFormat="1" applyFont="1" applyFill="1" applyBorder="1" applyAlignment="1">
      <alignment vertical="center" wrapText="1"/>
    </xf>
    <xf numFmtId="49" fontId="10" fillId="9" borderId="22" xfId="0" applyNumberFormat="1" applyFont="1" applyFill="1" applyBorder="1" applyAlignment="1">
      <alignment horizontal="center" vertical="center" wrapText="1" shrinkToFit="1"/>
    </xf>
    <xf numFmtId="0" fontId="9" fillId="9" borderId="29" xfId="1" applyFont="1" applyFill="1" applyBorder="1" applyAlignment="1">
      <alignment horizontal="center" vertical="center" wrapText="1"/>
    </xf>
    <xf numFmtId="0" fontId="29" fillId="9" borderId="28" xfId="0" applyFont="1" applyFill="1" applyBorder="1" applyAlignment="1">
      <alignment horizontal="center" vertical="center" wrapText="1"/>
    </xf>
    <xf numFmtId="3" fontId="9" fillId="9" borderId="0" xfId="0" applyNumberFormat="1" applyFont="1" applyFill="1" applyBorder="1" applyAlignment="1">
      <alignment vertical="center" wrapText="1"/>
    </xf>
    <xf numFmtId="3" fontId="9" fillId="9" borderId="22" xfId="0" applyNumberFormat="1" applyFont="1" applyFill="1" applyBorder="1" applyAlignment="1">
      <alignment vertical="center" wrapText="1"/>
    </xf>
    <xf numFmtId="3" fontId="9" fillId="9" borderId="29" xfId="0" applyNumberFormat="1" applyFont="1" applyFill="1" applyBorder="1" applyAlignment="1">
      <alignment vertical="center" wrapText="1"/>
    </xf>
    <xf numFmtId="3" fontId="9" fillId="9" borderId="55" xfId="0" applyNumberFormat="1" applyFont="1" applyFill="1" applyBorder="1" applyAlignment="1">
      <alignment vertical="center" wrapText="1"/>
    </xf>
    <xf numFmtId="3" fontId="9" fillId="9" borderId="28" xfId="0" applyNumberFormat="1" applyFont="1" applyFill="1" applyBorder="1" applyAlignment="1">
      <alignment vertical="center" wrapText="1"/>
    </xf>
    <xf numFmtId="49" fontId="9" fillId="9" borderId="23" xfId="0" applyNumberFormat="1" applyFont="1" applyFill="1" applyBorder="1" applyAlignment="1">
      <alignment horizontal="center" vertical="center"/>
    </xf>
    <xf numFmtId="0" fontId="23" fillId="0" borderId="27" xfId="0" applyFont="1" applyBorder="1"/>
    <xf numFmtId="49" fontId="14" fillId="0" borderId="12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 shrinkToFi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3" fontId="7" fillId="7" borderId="54" xfId="1" applyNumberFormat="1" applyFont="1" applyFill="1" applyBorder="1" applyAlignment="1">
      <alignment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center" vertical="top" wrapText="1"/>
    </xf>
    <xf numFmtId="0" fontId="5" fillId="10" borderId="24" xfId="0" applyFont="1" applyFill="1" applyBorder="1" applyAlignment="1">
      <alignment horizontal="center" vertical="center" wrapText="1"/>
    </xf>
    <xf numFmtId="49" fontId="5" fillId="1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3" fontId="5" fillId="6" borderId="37" xfId="0" applyNumberFormat="1" applyFont="1" applyFill="1" applyBorder="1" applyAlignment="1">
      <alignment horizontal="center" vertical="center" wrapText="1"/>
    </xf>
    <xf numFmtId="3" fontId="36" fillId="6" borderId="37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7" fillId="7" borderId="18" xfId="0" applyFont="1" applyFill="1" applyBorder="1" applyAlignment="1">
      <alignment vertical="center" wrapText="1"/>
    </xf>
    <xf numFmtId="49" fontId="7" fillId="6" borderId="25" xfId="0" applyNumberFormat="1" applyFont="1" applyFill="1" applyBorder="1" applyAlignment="1">
      <alignment horizontal="center" vertical="center" wrapText="1" shrinkToFit="1"/>
    </xf>
    <xf numFmtId="49" fontId="7" fillId="6" borderId="31" xfId="0" applyNumberFormat="1" applyFont="1" applyFill="1" applyBorder="1" applyAlignment="1">
      <alignment horizontal="center" vertical="center" wrapText="1" shrinkToFit="1"/>
    </xf>
    <xf numFmtId="0" fontId="6" fillId="6" borderId="23" xfId="1" applyFont="1" applyFill="1" applyBorder="1" applyAlignment="1">
      <alignment horizontal="center" vertical="center" wrapText="1"/>
    </xf>
    <xf numFmtId="4" fontId="36" fillId="6" borderId="37" xfId="0" applyNumberFormat="1" applyFont="1" applyFill="1" applyBorder="1" applyAlignment="1">
      <alignment horizontal="center" vertical="center" wrapText="1"/>
    </xf>
    <xf numFmtId="4" fontId="36" fillId="6" borderId="27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center" vertical="center" wrapText="1" shrinkToFit="1"/>
    </xf>
    <xf numFmtId="0" fontId="5" fillId="9" borderId="4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3" fontId="7" fillId="9" borderId="13" xfId="0" applyNumberFormat="1" applyFont="1" applyFill="1" applyBorder="1" applyAlignment="1">
      <alignment horizontal="right" vertical="center" wrapText="1"/>
    </xf>
    <xf numFmtId="3" fontId="7" fillId="9" borderId="15" xfId="0" applyNumberFormat="1" applyFont="1" applyFill="1" applyBorder="1" applyAlignment="1">
      <alignment horizontal="right" vertical="center" wrapText="1"/>
    </xf>
    <xf numFmtId="3" fontId="5" fillId="9" borderId="13" xfId="0" applyNumberFormat="1" applyFont="1" applyFill="1" applyBorder="1" applyAlignment="1">
      <alignment vertical="center" wrapText="1"/>
    </xf>
    <xf numFmtId="3" fontId="5" fillId="9" borderId="19" xfId="0" applyNumberFormat="1" applyFont="1" applyFill="1" applyBorder="1" applyAlignment="1">
      <alignment vertical="center" wrapText="1"/>
    </xf>
    <xf numFmtId="3" fontId="5" fillId="9" borderId="13" xfId="3" applyNumberFormat="1" applyFont="1" applyFill="1" applyBorder="1" applyAlignment="1">
      <alignment vertical="center"/>
    </xf>
    <xf numFmtId="3" fontId="5" fillId="9" borderId="43" xfId="3" applyNumberFormat="1" applyFont="1" applyFill="1" applyBorder="1" applyAlignment="1">
      <alignment vertical="center"/>
    </xf>
    <xf numFmtId="3" fontId="5" fillId="9" borderId="43" xfId="0" applyNumberFormat="1" applyFont="1" applyFill="1" applyBorder="1" applyAlignment="1">
      <alignment vertical="center"/>
    </xf>
    <xf numFmtId="3" fontId="5" fillId="9" borderId="57" xfId="0" applyNumberFormat="1" applyFont="1" applyFill="1" applyBorder="1" applyAlignment="1">
      <alignment vertical="center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vertical="center" wrapText="1"/>
    </xf>
    <xf numFmtId="3" fontId="5" fillId="7" borderId="16" xfId="1" applyNumberFormat="1" applyFont="1" applyFill="1" applyBorder="1" applyAlignment="1">
      <alignment vertical="center" wrapText="1"/>
    </xf>
    <xf numFmtId="3" fontId="9" fillId="9" borderId="57" xfId="0" applyNumberFormat="1" applyFont="1" applyFill="1" applyBorder="1" applyAlignment="1">
      <alignment vertical="center" wrapText="1"/>
    </xf>
    <xf numFmtId="3" fontId="5" fillId="0" borderId="60" xfId="0" applyNumberFormat="1" applyFont="1" applyFill="1" applyBorder="1" applyAlignment="1">
      <alignment vertical="center" wrapText="1"/>
    </xf>
    <xf numFmtId="3" fontId="11" fillId="0" borderId="45" xfId="0" applyNumberFormat="1" applyFont="1" applyBorder="1" applyAlignment="1">
      <alignment vertical="center" wrapText="1"/>
    </xf>
    <xf numFmtId="3" fontId="21" fillId="0" borderId="45" xfId="0" applyNumberFormat="1" applyFont="1" applyBorder="1" applyAlignment="1">
      <alignment vertical="center" wrapText="1"/>
    </xf>
    <xf numFmtId="3" fontId="11" fillId="9" borderId="45" xfId="0" applyNumberFormat="1" applyFont="1" applyFill="1" applyBorder="1" applyAlignment="1">
      <alignment vertical="center" wrapText="1"/>
    </xf>
    <xf numFmtId="3" fontId="13" fillId="9" borderId="45" xfId="0" applyNumberFormat="1" applyFont="1" applyFill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3" fontId="14" fillId="0" borderId="45" xfId="0" applyNumberFormat="1" applyFont="1" applyBorder="1" applyAlignment="1">
      <alignment vertical="center" wrapText="1"/>
    </xf>
    <xf numFmtId="3" fontId="13" fillId="0" borderId="57" xfId="0" applyNumberFormat="1" applyFont="1" applyBorder="1" applyAlignment="1">
      <alignment vertical="center" wrapText="1"/>
    </xf>
    <xf numFmtId="3" fontId="5" fillId="14" borderId="55" xfId="0" applyNumberFormat="1" applyFont="1" applyFill="1" applyBorder="1" applyAlignment="1">
      <alignment vertical="center" wrapText="1"/>
    </xf>
    <xf numFmtId="3" fontId="5" fillId="6" borderId="45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3" fontId="5" fillId="7" borderId="63" xfId="1" applyNumberFormat="1" applyFont="1" applyFill="1" applyBorder="1" applyAlignment="1">
      <alignment vertical="center" wrapText="1"/>
    </xf>
    <xf numFmtId="3" fontId="7" fillId="6" borderId="32" xfId="0" applyNumberFormat="1" applyFont="1" applyFill="1" applyBorder="1" applyAlignment="1">
      <alignment vertical="center" wrapText="1"/>
    </xf>
    <xf numFmtId="3" fontId="14" fillId="0" borderId="57" xfId="0" applyNumberFormat="1" applyFont="1" applyFill="1" applyBorder="1" applyAlignment="1">
      <alignment vertical="center" wrapText="1"/>
    </xf>
    <xf numFmtId="3" fontId="14" fillId="0" borderId="43" xfId="0" applyNumberFormat="1" applyFont="1" applyFill="1" applyBorder="1" applyAlignment="1">
      <alignment vertical="center" wrapText="1"/>
    </xf>
    <xf numFmtId="3" fontId="14" fillId="0" borderId="53" xfId="0" applyNumberFormat="1" applyFont="1" applyFill="1" applyBorder="1" applyAlignment="1">
      <alignment vertical="center" wrapText="1"/>
    </xf>
    <xf numFmtId="3" fontId="14" fillId="0" borderId="6" xfId="0" applyNumberFormat="1" applyFont="1" applyFill="1" applyBorder="1" applyAlignment="1">
      <alignment vertical="center" wrapText="1"/>
    </xf>
    <xf numFmtId="0" fontId="1" fillId="0" borderId="63" xfId="0" applyFont="1" applyBorder="1"/>
    <xf numFmtId="0" fontId="1" fillId="0" borderId="16" xfId="0" applyFont="1" applyBorder="1"/>
    <xf numFmtId="3" fontId="7" fillId="5" borderId="23" xfId="0" applyNumberFormat="1" applyFont="1" applyFill="1" applyBorder="1" applyAlignment="1">
      <alignment vertical="center" wrapText="1"/>
    </xf>
    <xf numFmtId="3" fontId="5" fillId="5" borderId="5" xfId="3" applyNumberFormat="1" applyFont="1" applyFill="1" applyBorder="1" applyAlignment="1">
      <alignment vertical="center"/>
    </xf>
    <xf numFmtId="0" fontId="1" fillId="5" borderId="1" xfId="0" applyFont="1" applyFill="1" applyBorder="1"/>
    <xf numFmtId="3" fontId="5" fillId="6" borderId="40" xfId="1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3" fontId="7" fillId="4" borderId="27" xfId="0" applyNumberFormat="1" applyFont="1" applyFill="1" applyBorder="1" applyAlignment="1">
      <alignment vertical="center" wrapText="1"/>
    </xf>
    <xf numFmtId="3" fontId="5" fillId="0" borderId="27" xfId="1" applyNumberFormat="1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vertical="center"/>
    </xf>
    <xf numFmtId="49" fontId="20" fillId="0" borderId="26" xfId="0" applyNumberFormat="1" applyFont="1" applyFill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vertical="center" wrapText="1"/>
    </xf>
    <xf numFmtId="3" fontId="20" fillId="0" borderId="26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14" fillId="9" borderId="66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7" fillId="14" borderId="26" xfId="0" applyNumberFormat="1" applyFont="1" applyFill="1" applyBorder="1" applyAlignment="1">
      <alignment horizontal="center" vertical="center" wrapText="1"/>
    </xf>
    <xf numFmtId="49" fontId="5" fillId="14" borderId="26" xfId="0" applyNumberFormat="1" applyFont="1" applyFill="1" applyBorder="1" applyAlignment="1">
      <alignment horizontal="center" vertical="center" wrapText="1" shrinkToFit="1"/>
    </xf>
    <xf numFmtId="0" fontId="5" fillId="14" borderId="26" xfId="0" applyFont="1" applyFill="1" applyBorder="1" applyAlignment="1">
      <alignment horizontal="center" vertical="center" wrapText="1"/>
    </xf>
    <xf numFmtId="0" fontId="5" fillId="14" borderId="26" xfId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3" fontId="7" fillId="14" borderId="26" xfId="1" applyNumberFormat="1" applyFont="1" applyFill="1" applyBorder="1" applyAlignment="1">
      <alignment vertical="center" wrapText="1"/>
    </xf>
    <xf numFmtId="3" fontId="7" fillId="14" borderId="31" xfId="1" applyNumberFormat="1" applyFont="1" applyFill="1" applyBorder="1" applyAlignment="1">
      <alignment vertical="center" wrapText="1"/>
    </xf>
    <xf numFmtId="3" fontId="5" fillId="14" borderId="40" xfId="0" applyNumberFormat="1" applyFont="1" applyFill="1" applyBorder="1" applyAlignment="1">
      <alignment vertical="center" wrapText="1"/>
    </xf>
    <xf numFmtId="3" fontId="5" fillId="14" borderId="37" xfId="0" applyNumberFormat="1" applyFont="1" applyFill="1" applyBorder="1" applyAlignment="1">
      <alignment vertical="center" wrapText="1"/>
    </xf>
    <xf numFmtId="3" fontId="7" fillId="14" borderId="26" xfId="0" applyNumberFormat="1" applyFont="1" applyFill="1" applyBorder="1" applyAlignment="1">
      <alignment vertical="center" wrapText="1"/>
    </xf>
    <xf numFmtId="3" fontId="7" fillId="14" borderId="32" xfId="0" applyNumberFormat="1" applyFont="1" applyFill="1" applyBorder="1" applyAlignment="1">
      <alignment vertical="center" wrapText="1"/>
    </xf>
    <xf numFmtId="3" fontId="5" fillId="14" borderId="31" xfId="0" applyNumberFormat="1" applyFont="1" applyFill="1" applyBorder="1" applyAlignment="1">
      <alignment vertical="center" wrapText="1"/>
    </xf>
    <xf numFmtId="3" fontId="5" fillId="14" borderId="26" xfId="0" applyNumberFormat="1" applyFont="1" applyFill="1" applyBorder="1" applyAlignment="1">
      <alignment vertical="center" wrapText="1"/>
    </xf>
    <xf numFmtId="3" fontId="5" fillId="14" borderId="32" xfId="0" applyNumberFormat="1" applyFont="1" applyFill="1" applyBorder="1" applyAlignment="1">
      <alignment vertical="center" wrapText="1"/>
    </xf>
    <xf numFmtId="3" fontId="5" fillId="14" borderId="45" xfId="0" applyNumberFormat="1" applyFont="1" applyFill="1" applyBorder="1" applyAlignment="1">
      <alignment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49" fontId="5" fillId="14" borderId="26" xfId="0" applyNumberFormat="1" applyFont="1" applyFill="1" applyBorder="1" applyAlignment="1">
      <alignment horizontal="center" vertical="center"/>
    </xf>
    <xf numFmtId="49" fontId="5" fillId="14" borderId="31" xfId="0" applyNumberFormat="1" applyFont="1" applyFill="1" applyBorder="1" applyAlignment="1">
      <alignment horizontal="center" vertical="center"/>
    </xf>
    <xf numFmtId="49" fontId="7" fillId="6" borderId="32" xfId="0" applyNumberFormat="1" applyFont="1" applyFill="1" applyBorder="1" applyAlignment="1">
      <alignment horizontal="center" vertical="center" wrapText="1" shrinkToFit="1"/>
    </xf>
    <xf numFmtId="0" fontId="5" fillId="6" borderId="3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vertical="center" wrapText="1"/>
    </xf>
    <xf numFmtId="3" fontId="7" fillId="6" borderId="23" xfId="0" applyNumberFormat="1" applyFont="1" applyFill="1" applyBorder="1" applyAlignment="1">
      <alignment horizontal="right" vertical="center"/>
    </xf>
    <xf numFmtId="49" fontId="7" fillId="6" borderId="9" xfId="0" applyNumberFormat="1" applyFont="1" applyFill="1" applyBorder="1" applyAlignment="1">
      <alignment horizontal="center" vertical="center" wrapText="1" shrinkToFi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3" fontId="5" fillId="6" borderId="48" xfId="0" applyNumberFormat="1" applyFont="1" applyFill="1" applyBorder="1" applyAlignment="1">
      <alignment vertical="center" wrapText="1"/>
    </xf>
    <xf numFmtId="3" fontId="7" fillId="6" borderId="9" xfId="0" applyNumberFormat="1" applyFont="1" applyFill="1" applyBorder="1" applyAlignment="1">
      <alignment vertical="center" wrapText="1"/>
    </xf>
    <xf numFmtId="3" fontId="5" fillId="6" borderId="59" xfId="0" applyNumberFormat="1" applyFont="1" applyFill="1" applyBorder="1" applyAlignment="1">
      <alignment vertical="center" wrapText="1"/>
    </xf>
    <xf numFmtId="3" fontId="5" fillId="6" borderId="9" xfId="0" applyNumberFormat="1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3" fontId="7" fillId="5" borderId="32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 wrapText="1"/>
    </xf>
    <xf numFmtId="3" fontId="20" fillId="0" borderId="13" xfId="1" applyNumberFormat="1" applyFont="1" applyFill="1" applyBorder="1" applyAlignment="1">
      <alignment vertical="center" wrapText="1"/>
    </xf>
    <xf numFmtId="3" fontId="12" fillId="0" borderId="23" xfId="1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9" borderId="57" xfId="0" applyNumberFormat="1" applyFont="1" applyFill="1" applyBorder="1" applyAlignment="1">
      <alignment horizontal="center" vertical="center" wrapText="1"/>
    </xf>
    <xf numFmtId="49" fontId="7" fillId="9" borderId="46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" fontId="8" fillId="7" borderId="18" xfId="1" applyNumberFormat="1" applyFont="1" applyFill="1" applyBorder="1" applyAlignment="1">
      <alignment horizontal="center" vertical="center" wrapText="1"/>
    </xf>
    <xf numFmtId="4" fontId="8" fillId="7" borderId="14" xfId="1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6" borderId="45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3" fontId="8" fillId="7" borderId="12" xfId="1" applyNumberFormat="1" applyFont="1" applyFill="1" applyBorder="1" applyAlignment="1">
      <alignment horizontal="center" vertical="center"/>
    </xf>
    <xf numFmtId="3" fontId="8" fillId="7" borderId="5" xfId="1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66" fontId="7" fillId="11" borderId="3" xfId="1" applyNumberFormat="1" applyFont="1" applyFill="1" applyBorder="1" applyAlignment="1">
      <alignment horizontal="center" vertical="center" wrapText="1"/>
    </xf>
    <xf numFmtId="166" fontId="7" fillId="11" borderId="14" xfId="1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4" fontId="7" fillId="7" borderId="12" xfId="0" applyNumberFormat="1" applyFont="1" applyFill="1" applyBorder="1" applyAlignment="1">
      <alignment horizontal="center"/>
    </xf>
    <xf numFmtId="4" fontId="7" fillId="7" borderId="5" xfId="0" applyNumberFormat="1" applyFont="1" applyFill="1" applyBorder="1" applyAlignment="1">
      <alignment horizontal="center"/>
    </xf>
    <xf numFmtId="49" fontId="7" fillId="7" borderId="2" xfId="0" applyNumberFormat="1" applyFont="1" applyFill="1" applyBorder="1" applyAlignment="1">
      <alignment horizontal="center" vertical="center" wrapText="1"/>
    </xf>
    <xf numFmtId="49" fontId="7" fillId="7" borderId="33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4" fontId="7" fillId="7" borderId="10" xfId="0" applyNumberFormat="1" applyFont="1" applyFill="1" applyBorder="1" applyAlignment="1">
      <alignment horizontal="center" vertical="center" wrapText="1"/>
    </xf>
    <xf numFmtId="4" fontId="7" fillId="7" borderId="11" xfId="0" applyNumberFormat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33" xfId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49" fontId="7" fillId="7" borderId="28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7" fillId="7" borderId="3" xfId="1" applyFont="1" applyFill="1" applyBorder="1" applyAlignment="1">
      <alignment horizontal="center" vertical="center" wrapText="1"/>
    </xf>
    <xf numFmtId="0" fontId="7" fillId="7" borderId="14" xfId="1" applyFont="1" applyFill="1" applyBorder="1" applyAlignment="1">
      <alignment horizontal="center" vertical="center" wrapText="1"/>
    </xf>
    <xf numFmtId="3" fontId="8" fillId="7" borderId="12" xfId="0" applyNumberFormat="1" applyFont="1" applyFill="1" applyBorder="1" applyAlignment="1">
      <alignment horizontal="center" vertical="center"/>
    </xf>
    <xf numFmtId="3" fontId="8" fillId="7" borderId="6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vertical="center" wrapText="1"/>
    </xf>
    <xf numFmtId="4" fontId="7" fillId="8" borderId="14" xfId="0" applyNumberFormat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33" xfId="1" applyFont="1" applyFill="1" applyBorder="1" applyAlignment="1">
      <alignment horizontal="center" vertical="center" wrapText="1"/>
    </xf>
    <xf numFmtId="4" fontId="7" fillId="12" borderId="12" xfId="0" applyNumberFormat="1" applyFont="1" applyFill="1" applyBorder="1" applyAlignment="1">
      <alignment horizontal="center" vertical="center" wrapText="1"/>
    </xf>
    <xf numFmtId="4" fontId="7" fillId="12" borderId="5" xfId="0" applyNumberFormat="1" applyFont="1" applyFill="1" applyBorder="1" applyAlignment="1">
      <alignment horizontal="center" vertical="center" wrapText="1"/>
    </xf>
    <xf numFmtId="4" fontId="7" fillId="12" borderId="6" xfId="0" applyNumberFormat="1" applyFont="1" applyFill="1" applyBorder="1" applyAlignment="1">
      <alignment horizontal="center" vertical="center" wrapText="1"/>
    </xf>
    <xf numFmtId="0" fontId="7" fillId="7" borderId="13" xfId="1" applyFont="1" applyFill="1" applyBorder="1" applyAlignment="1">
      <alignment horizontal="center" vertical="center" wrapText="1"/>
    </xf>
  </cellXfs>
  <cellStyles count="12">
    <cellStyle name="Čárka 2" xfId="11" xr:uid="{00000000-0005-0000-0000-000000000000}"/>
    <cellStyle name="Čárka 2 3" xfId="10" xr:uid="{00000000-0005-0000-0000-000001000000}"/>
    <cellStyle name="Normální" xfId="0" builtinId="0"/>
    <cellStyle name="Normální 10" xfId="4" xr:uid="{00000000-0005-0000-0000-000003000000}"/>
    <cellStyle name="Normální 2" xfId="2" xr:uid="{00000000-0005-0000-0000-000004000000}"/>
    <cellStyle name="Normální 2 123 2" xfId="8" xr:uid="{00000000-0005-0000-0000-000005000000}"/>
    <cellStyle name="Normální 2 2" xfId="9" xr:uid="{00000000-0005-0000-0000-000006000000}"/>
    <cellStyle name="Normální 31" xfId="7" xr:uid="{00000000-0005-0000-0000-000007000000}"/>
    <cellStyle name="Normální 5" xfId="6" xr:uid="{00000000-0005-0000-0000-000008000000}"/>
    <cellStyle name="normální_dle škol" xfId="5" xr:uid="{00000000-0005-0000-0000-000009000000}"/>
    <cellStyle name="normální_List1" xfId="1" xr:uid="{00000000-0005-0000-0000-00000A000000}"/>
    <cellStyle name="normální_t 01" xfId="3" xr:uid="{00000000-0005-0000-0000-00000B000000}"/>
  </cellStyles>
  <dxfs count="0"/>
  <tableStyles count="0" defaultTableStyle="TableStyleMedium2" defaultPivotStyle="PivotStyleLight16"/>
  <colors>
    <mruColors>
      <color rgb="FF0000FB"/>
      <color rgb="FFE4DFEC"/>
      <color rgb="FFFFFF66"/>
      <color rgb="FFF385C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32"/>
  <sheetViews>
    <sheetView tabSelected="1" zoomScale="90" zoomScaleNormal="90" workbookViewId="0">
      <pane ySplit="4" topLeftCell="A5" activePane="bottomLeft" state="frozen"/>
      <selection pane="bottomLeft" activeCell="G2" sqref="G2:G3"/>
    </sheetView>
  </sheetViews>
  <sheetFormatPr defaultRowHeight="15" x14ac:dyDescent="0.25"/>
  <cols>
    <col min="1" max="1" width="14.5703125" customWidth="1"/>
    <col min="2" max="2" width="8.5703125" customWidth="1"/>
    <col min="3" max="3" width="7.28515625" customWidth="1"/>
    <col min="4" max="4" width="32.28515625" customWidth="1"/>
    <col min="5" max="6" width="41.28515625" customWidth="1"/>
    <col min="7" max="7" width="49.85546875" customWidth="1"/>
    <col min="8" max="8" width="9.85546875" customWidth="1"/>
    <col min="9" max="9" width="10" customWidth="1"/>
    <col min="10" max="10" width="8.85546875" customWidth="1"/>
    <col min="11" max="11" width="9.5703125" customWidth="1"/>
    <col min="12" max="12" width="10.28515625" customWidth="1"/>
    <col min="13" max="13" width="8" customWidth="1"/>
    <col min="14" max="14" width="9.7109375" style="790" customWidth="1"/>
    <col min="15" max="15" width="9.28515625" customWidth="1"/>
    <col min="16" max="16" width="10.7109375" customWidth="1"/>
    <col min="17" max="17" width="10.85546875" customWidth="1"/>
    <col min="18" max="18" width="8.28515625" customWidth="1"/>
    <col min="19" max="19" width="8.42578125" customWidth="1"/>
    <col min="20" max="21" width="9.85546875" customWidth="1"/>
    <col min="22" max="22" width="9.5703125" customWidth="1"/>
    <col min="23" max="23" width="62.42578125" customWidth="1"/>
    <col min="24" max="24" width="13" customWidth="1"/>
    <col min="25" max="25" width="10.140625" customWidth="1"/>
    <col min="26" max="26" width="8.85546875" customWidth="1"/>
    <col min="27" max="27" width="7.140625" customWidth="1"/>
  </cols>
  <sheetData>
    <row r="1" spans="1:27" ht="38.25" customHeight="1" thickBot="1" x14ac:dyDescent="0.3">
      <c r="A1" s="2110" t="s">
        <v>1252</v>
      </c>
      <c r="B1" s="2111"/>
      <c r="C1" s="2111"/>
      <c r="D1" s="2111"/>
      <c r="E1" s="2111"/>
      <c r="F1" s="2111"/>
      <c r="G1" s="2111"/>
      <c r="H1" s="2111"/>
      <c r="I1" s="2111"/>
      <c r="J1" s="2111"/>
      <c r="K1" s="2111"/>
      <c r="L1" s="2111"/>
      <c r="M1" s="2111"/>
      <c r="N1" s="2111"/>
      <c r="O1" s="2111"/>
      <c r="P1" s="2111"/>
      <c r="Q1" s="2111"/>
      <c r="R1" s="2111"/>
      <c r="S1" s="2111"/>
      <c r="T1" s="2111"/>
      <c r="U1" s="2111"/>
      <c r="V1" s="2111"/>
      <c r="W1" s="2112"/>
      <c r="X1" s="2110" t="s">
        <v>907</v>
      </c>
      <c r="Y1" s="2111"/>
      <c r="Z1" s="2111"/>
      <c r="AA1" s="2112"/>
    </row>
    <row r="2" spans="1:27" ht="33.75" customHeight="1" thickBot="1" x14ac:dyDescent="0.3">
      <c r="A2" s="2119" t="s">
        <v>1</v>
      </c>
      <c r="B2" s="2121" t="s">
        <v>2</v>
      </c>
      <c r="C2" s="2121" t="s">
        <v>909</v>
      </c>
      <c r="D2" s="2129" t="s">
        <v>908</v>
      </c>
      <c r="E2" s="2127" t="s">
        <v>3</v>
      </c>
      <c r="F2" s="2127" t="s">
        <v>4</v>
      </c>
      <c r="G2" s="2147" t="s">
        <v>5</v>
      </c>
      <c r="H2" s="2127" t="s">
        <v>6</v>
      </c>
      <c r="I2" s="2136" t="s">
        <v>570</v>
      </c>
      <c r="J2" s="2113" t="s">
        <v>1630</v>
      </c>
      <c r="K2" s="2145" t="s">
        <v>1637</v>
      </c>
      <c r="L2" s="2140" t="s">
        <v>806</v>
      </c>
      <c r="M2" s="2141"/>
      <c r="N2" s="2141"/>
      <c r="O2" s="2142"/>
      <c r="P2" s="2125" t="s">
        <v>7</v>
      </c>
      <c r="Q2" s="2126"/>
      <c r="R2" s="2149" t="s">
        <v>8</v>
      </c>
      <c r="S2" s="2150"/>
      <c r="T2" s="2151"/>
      <c r="U2" s="2115" t="s">
        <v>934</v>
      </c>
      <c r="V2" s="2115" t="s">
        <v>935</v>
      </c>
      <c r="W2" s="2143" t="s">
        <v>9</v>
      </c>
      <c r="X2" s="2129" t="s">
        <v>780</v>
      </c>
      <c r="Y2" s="2131" t="s">
        <v>1636</v>
      </c>
      <c r="Z2" s="2132" t="s">
        <v>807</v>
      </c>
      <c r="AA2" s="2123" t="s">
        <v>808</v>
      </c>
    </row>
    <row r="3" spans="1:27" ht="106.5" customHeight="1" thickBot="1" x14ac:dyDescent="0.3">
      <c r="A3" s="2120"/>
      <c r="B3" s="2122"/>
      <c r="C3" s="2122"/>
      <c r="D3" s="2130"/>
      <c r="E3" s="2128"/>
      <c r="F3" s="2128"/>
      <c r="G3" s="2148"/>
      <c r="H3" s="2152"/>
      <c r="I3" s="2137"/>
      <c r="J3" s="2114"/>
      <c r="K3" s="2146"/>
      <c r="L3" s="412" t="s">
        <v>1254</v>
      </c>
      <c r="M3" s="103" t="s">
        <v>1253</v>
      </c>
      <c r="N3" s="234" t="s">
        <v>1255</v>
      </c>
      <c r="O3" s="234" t="s">
        <v>10</v>
      </c>
      <c r="P3" s="216" t="s">
        <v>1046</v>
      </c>
      <c r="Q3" s="216" t="s">
        <v>1045</v>
      </c>
      <c r="R3" s="796" t="s">
        <v>1260</v>
      </c>
      <c r="S3" s="795" t="s">
        <v>1261</v>
      </c>
      <c r="T3" s="791" t="s">
        <v>1262</v>
      </c>
      <c r="U3" s="2116"/>
      <c r="V3" s="2116"/>
      <c r="W3" s="2144"/>
      <c r="X3" s="2134"/>
      <c r="Y3" s="2124"/>
      <c r="Z3" s="2133"/>
      <c r="AA3" s="2124"/>
    </row>
    <row r="4" spans="1:27" ht="16.5" thickBot="1" x14ac:dyDescent="0.3">
      <c r="A4" s="105"/>
      <c r="B4" s="100"/>
      <c r="C4" s="100"/>
      <c r="D4" s="116"/>
      <c r="E4" s="210"/>
      <c r="F4" s="211"/>
      <c r="G4" s="164"/>
      <c r="H4" s="210"/>
      <c r="I4" s="212"/>
      <c r="J4" s="1883"/>
      <c r="K4" s="214"/>
      <c r="L4" s="513"/>
      <c r="M4" s="514"/>
      <c r="N4" s="515"/>
      <c r="O4" s="516"/>
      <c r="P4" s="216"/>
      <c r="Q4" s="215"/>
      <c r="R4" s="797"/>
      <c r="S4" s="215"/>
      <c r="T4" s="216"/>
      <c r="U4" s="217"/>
      <c r="V4" s="217"/>
      <c r="W4" s="213"/>
      <c r="X4" s="100"/>
      <c r="Y4" s="105"/>
      <c r="Z4" s="374"/>
      <c r="AA4" s="105"/>
    </row>
    <row r="5" spans="1:27" ht="60" x14ac:dyDescent="0.25">
      <c r="A5" s="1241" t="s">
        <v>11</v>
      </c>
      <c r="B5" s="1840" t="s">
        <v>12</v>
      </c>
      <c r="C5" s="1044">
        <v>2016</v>
      </c>
      <c r="D5" s="1044" t="s">
        <v>13</v>
      </c>
      <c r="E5" s="1851" t="s">
        <v>14</v>
      </c>
      <c r="F5" s="1729" t="s">
        <v>14</v>
      </c>
      <c r="G5" s="1852" t="s">
        <v>15</v>
      </c>
      <c r="H5" s="1384">
        <v>17500</v>
      </c>
      <c r="I5" s="814">
        <v>8356.2212799999998</v>
      </c>
      <c r="J5" s="812">
        <v>2917.7939999999999</v>
      </c>
      <c r="K5" s="1192">
        <v>0</v>
      </c>
      <c r="L5" s="1194">
        <v>3143.7787200000002</v>
      </c>
      <c r="M5" s="1732">
        <v>-225.98472000000001</v>
      </c>
      <c r="N5" s="1188">
        <f>L5+M5</f>
        <v>2917.7940000000003</v>
      </c>
      <c r="O5" s="1194">
        <v>0</v>
      </c>
      <c r="P5" s="1193">
        <v>0</v>
      </c>
      <c r="Q5" s="1192">
        <v>0</v>
      </c>
      <c r="R5" s="1184">
        <v>0</v>
      </c>
      <c r="S5" s="1192">
        <v>0</v>
      </c>
      <c r="T5" s="1193">
        <f>2000+225.98472</f>
        <v>2225.9847199999999</v>
      </c>
      <c r="U5" s="1712">
        <v>2000</v>
      </c>
      <c r="V5" s="1712">
        <v>2000</v>
      </c>
      <c r="W5" s="1328" t="s">
        <v>1616</v>
      </c>
      <c r="X5" s="1044" t="s">
        <v>48</v>
      </c>
      <c r="Y5" s="1849" t="s">
        <v>799</v>
      </c>
      <c r="Z5" s="1197" t="s">
        <v>839</v>
      </c>
      <c r="AA5" s="1850" t="s">
        <v>839</v>
      </c>
    </row>
    <row r="6" spans="1:27" s="717" customFormat="1" ht="26.25" thickBot="1" x14ac:dyDescent="0.3">
      <c r="A6" s="1912" t="s">
        <v>17</v>
      </c>
      <c r="B6" s="1913" t="s">
        <v>785</v>
      </c>
      <c r="C6" s="1593">
        <v>2018</v>
      </c>
      <c r="D6" s="1593" t="s">
        <v>809</v>
      </c>
      <c r="E6" s="1914" t="s">
        <v>14</v>
      </c>
      <c r="F6" s="1915" t="s">
        <v>14</v>
      </c>
      <c r="G6" s="1895" t="s">
        <v>18</v>
      </c>
      <c r="H6" s="1916">
        <f>7000+18294.97</f>
        <v>25294.97</v>
      </c>
      <c r="I6" s="1917">
        <v>0</v>
      </c>
      <c r="J6" s="1916">
        <v>942.59</v>
      </c>
      <c r="K6" s="1918">
        <v>578.38</v>
      </c>
      <c r="L6" s="1919">
        <v>7000</v>
      </c>
      <c r="M6" s="1920">
        <v>-5479.03</v>
      </c>
      <c r="N6" s="1407">
        <f>L6+M6</f>
        <v>1520.9700000000003</v>
      </c>
      <c r="O6" s="1919">
        <v>0</v>
      </c>
      <c r="P6" s="1921">
        <v>0</v>
      </c>
      <c r="Q6" s="1922">
        <v>0</v>
      </c>
      <c r="R6" s="2003">
        <v>0</v>
      </c>
      <c r="S6" s="1922">
        <v>0</v>
      </c>
      <c r="T6" s="1921">
        <v>7774</v>
      </c>
      <c r="U6" s="1923">
        <v>8000</v>
      </c>
      <c r="V6" s="1923">
        <v>8000</v>
      </c>
      <c r="W6" s="1894" t="s">
        <v>1617</v>
      </c>
      <c r="X6" s="1593" t="s">
        <v>48</v>
      </c>
      <c r="Y6" s="1924" t="s">
        <v>799</v>
      </c>
      <c r="Z6" s="1925" t="s">
        <v>839</v>
      </c>
      <c r="AA6" s="1924" t="s">
        <v>839</v>
      </c>
    </row>
    <row r="7" spans="1:27" s="717" customFormat="1" ht="25.5" x14ac:dyDescent="0.25">
      <c r="A7" s="1964" t="s">
        <v>1613</v>
      </c>
      <c r="B7" s="2070" t="s">
        <v>802</v>
      </c>
      <c r="C7" s="2071">
        <v>2019</v>
      </c>
      <c r="D7" s="645" t="s">
        <v>784</v>
      </c>
      <c r="E7" s="2072" t="s">
        <v>14</v>
      </c>
      <c r="F7" s="1871" t="s">
        <v>14</v>
      </c>
      <c r="G7" s="2073" t="s">
        <v>1632</v>
      </c>
      <c r="H7" s="714">
        <v>1300</v>
      </c>
      <c r="I7" s="1823">
        <v>0</v>
      </c>
      <c r="J7" s="714">
        <v>0</v>
      </c>
      <c r="K7" s="2074">
        <v>0</v>
      </c>
      <c r="L7" s="1403">
        <v>0</v>
      </c>
      <c r="M7" s="1401">
        <v>0</v>
      </c>
      <c r="N7" s="2075">
        <v>0</v>
      </c>
      <c r="O7" s="2068">
        <v>0</v>
      </c>
      <c r="P7" s="1403">
        <v>0</v>
      </c>
      <c r="Q7" s="2075">
        <v>0</v>
      </c>
      <c r="R7" s="2076">
        <v>1300</v>
      </c>
      <c r="S7" s="2077">
        <v>0</v>
      </c>
      <c r="T7" s="2075">
        <v>1300</v>
      </c>
      <c r="U7" s="2075">
        <v>0</v>
      </c>
      <c r="V7" s="2075">
        <v>0</v>
      </c>
      <c r="W7" s="1975" t="s">
        <v>784</v>
      </c>
      <c r="X7" s="645" t="s">
        <v>22</v>
      </c>
      <c r="Y7" s="2078" t="s">
        <v>571</v>
      </c>
      <c r="Z7" s="2078" t="s">
        <v>838</v>
      </c>
      <c r="AA7" s="1940" t="s">
        <v>838</v>
      </c>
    </row>
    <row r="8" spans="1:27" s="717" customFormat="1" ht="21" customHeight="1" x14ac:dyDescent="0.25">
      <c r="A8" s="913" t="s">
        <v>1638</v>
      </c>
      <c r="B8" s="913" t="s">
        <v>802</v>
      </c>
      <c r="C8" s="659">
        <v>2019</v>
      </c>
      <c r="D8" s="659" t="s">
        <v>784</v>
      </c>
      <c r="E8" s="659" t="s">
        <v>14</v>
      </c>
      <c r="F8" s="659" t="s">
        <v>14</v>
      </c>
      <c r="G8" s="1804" t="s">
        <v>1639</v>
      </c>
      <c r="H8" s="2069">
        <v>50000</v>
      </c>
      <c r="I8" s="920">
        <v>0</v>
      </c>
      <c r="J8" s="920">
        <v>0</v>
      </c>
      <c r="K8" s="919">
        <v>0</v>
      </c>
      <c r="L8" s="919">
        <v>0</v>
      </c>
      <c r="M8" s="919">
        <v>0</v>
      </c>
      <c r="N8" s="919">
        <v>0</v>
      </c>
      <c r="O8" s="922">
        <v>0</v>
      </c>
      <c r="P8" s="919">
        <v>0</v>
      </c>
      <c r="Q8" s="1129">
        <v>0</v>
      </c>
      <c r="R8" s="917">
        <v>5000</v>
      </c>
      <c r="S8" s="1360">
        <v>5000</v>
      </c>
      <c r="T8" s="1305">
        <v>50000</v>
      </c>
      <c r="U8" s="1305">
        <v>0</v>
      </c>
      <c r="V8" s="1305">
        <v>0</v>
      </c>
      <c r="W8" s="659" t="s">
        <v>784</v>
      </c>
      <c r="X8" s="659" t="s">
        <v>22</v>
      </c>
      <c r="Y8" s="992" t="s">
        <v>998</v>
      </c>
      <c r="Z8" s="992" t="s">
        <v>838</v>
      </c>
      <c r="AA8" s="992" t="s">
        <v>838</v>
      </c>
    </row>
    <row r="9" spans="1:27" ht="15.75" thickBot="1" x14ac:dyDescent="0.3">
      <c r="A9" s="86"/>
      <c r="B9" s="95"/>
      <c r="C9" s="11"/>
      <c r="D9" s="11"/>
      <c r="E9" s="799"/>
      <c r="F9" s="92"/>
      <c r="G9" s="801"/>
      <c r="H9" s="6"/>
      <c r="I9" s="223"/>
      <c r="J9" s="182"/>
      <c r="K9" s="1821"/>
      <c r="L9" s="436"/>
      <c r="M9" s="260"/>
      <c r="N9" s="254"/>
      <c r="O9" s="16"/>
      <c r="P9" s="8"/>
      <c r="Q9" s="7"/>
      <c r="R9" s="2004"/>
      <c r="S9" s="7"/>
      <c r="T9" s="8"/>
      <c r="U9" s="241"/>
      <c r="V9" s="241"/>
      <c r="W9" s="56"/>
      <c r="X9" s="11"/>
      <c r="Y9" s="225"/>
      <c r="Z9" s="269"/>
      <c r="AA9" s="225"/>
    </row>
    <row r="10" spans="1:27" ht="33.75" customHeight="1" thickBot="1" x14ac:dyDescent="0.3">
      <c r="A10" s="378" t="s">
        <v>784</v>
      </c>
      <c r="B10" s="630" t="s">
        <v>784</v>
      </c>
      <c r="C10" s="210" t="s">
        <v>784</v>
      </c>
      <c r="D10" s="116" t="s">
        <v>784</v>
      </c>
      <c r="E10" s="800" t="s">
        <v>784</v>
      </c>
      <c r="F10" s="160" t="s">
        <v>784</v>
      </c>
      <c r="G10" s="802" t="s">
        <v>922</v>
      </c>
      <c r="H10" s="99">
        <f t="shared" ref="H10:K10" si="0">SUM(H5:H9)</f>
        <v>94094.97</v>
      </c>
      <c r="I10" s="504">
        <f t="shared" si="0"/>
        <v>8356.2212799999998</v>
      </c>
      <c r="J10" s="99">
        <v>3860.384</v>
      </c>
      <c r="K10" s="443">
        <f t="shared" si="0"/>
        <v>578.38</v>
      </c>
      <c r="L10" s="413">
        <v>10143.77872</v>
      </c>
      <c r="M10" s="99">
        <f t="shared" ref="M10:V10" si="1">SUM(M5:M9)</f>
        <v>-5705.0147200000001</v>
      </c>
      <c r="N10" s="99">
        <f t="shared" si="1"/>
        <v>4438.764000000001</v>
      </c>
      <c r="O10" s="438">
        <f t="shared" si="1"/>
        <v>0</v>
      </c>
      <c r="P10" s="413">
        <f t="shared" si="1"/>
        <v>0</v>
      </c>
      <c r="Q10" s="615">
        <f t="shared" si="1"/>
        <v>0</v>
      </c>
      <c r="R10" s="441">
        <f t="shared" si="1"/>
        <v>6300</v>
      </c>
      <c r="S10" s="615">
        <f t="shared" si="1"/>
        <v>5000</v>
      </c>
      <c r="T10" s="413">
        <f t="shared" si="1"/>
        <v>61299.98472</v>
      </c>
      <c r="U10" s="413">
        <f t="shared" si="1"/>
        <v>10000</v>
      </c>
      <c r="V10" s="413">
        <f t="shared" si="1"/>
        <v>10000</v>
      </c>
      <c r="W10" s="134" t="s">
        <v>1653</v>
      </c>
      <c r="X10" s="100" t="s">
        <v>784</v>
      </c>
      <c r="Y10" s="105" t="s">
        <v>784</v>
      </c>
      <c r="Z10" s="407" t="s">
        <v>784</v>
      </c>
      <c r="AA10" s="105" t="s">
        <v>784</v>
      </c>
    </row>
    <row r="11" spans="1:27" ht="25.5" x14ac:dyDescent="0.25">
      <c r="A11" s="1350" t="s">
        <v>19</v>
      </c>
      <c r="B11" s="1649" t="s">
        <v>20</v>
      </c>
      <c r="C11" s="1355">
        <v>2011</v>
      </c>
      <c r="D11" s="683" t="s">
        <v>1039</v>
      </c>
      <c r="E11" s="1650" t="s">
        <v>14</v>
      </c>
      <c r="F11" s="1650" t="s">
        <v>14</v>
      </c>
      <c r="G11" s="1651" t="s">
        <v>21</v>
      </c>
      <c r="H11" s="1652">
        <f>49892.22+5650</f>
        <v>55542.22</v>
      </c>
      <c r="I11" s="1872">
        <v>42341.813999999998</v>
      </c>
      <c r="J11" s="1607">
        <v>0</v>
      </c>
      <c r="K11" s="1654">
        <f>7550.406-6550</f>
        <v>1000.4059999999999</v>
      </c>
      <c r="L11" s="1612">
        <v>7550.4060000000027</v>
      </c>
      <c r="M11" s="1374">
        <f>-2650-3900</f>
        <v>-6550</v>
      </c>
      <c r="N11" s="1611">
        <f t="shared" ref="N11:N20" si="2">L11+M11</f>
        <v>1000.4060000000027</v>
      </c>
      <c r="O11" s="1610">
        <v>0</v>
      </c>
      <c r="P11" s="1353">
        <v>0</v>
      </c>
      <c r="Q11" s="1613">
        <v>0</v>
      </c>
      <c r="R11" s="1956">
        <v>3900</v>
      </c>
      <c r="S11" s="1613">
        <v>0</v>
      </c>
      <c r="T11" s="1353">
        <f>4300+3900</f>
        <v>8200</v>
      </c>
      <c r="U11" s="1613">
        <v>4000</v>
      </c>
      <c r="V11" s="1613">
        <v>0</v>
      </c>
      <c r="W11" s="1351" t="s">
        <v>1572</v>
      </c>
      <c r="X11" s="1355" t="s">
        <v>22</v>
      </c>
      <c r="Y11" s="1357" t="s">
        <v>27</v>
      </c>
      <c r="Z11" s="1348" t="s">
        <v>838</v>
      </c>
      <c r="AA11" s="1347" t="s">
        <v>838</v>
      </c>
    </row>
    <row r="12" spans="1:27" ht="25.5" x14ac:dyDescent="0.25">
      <c r="A12" s="68" t="s">
        <v>24</v>
      </c>
      <c r="B12" s="88" t="s">
        <v>25</v>
      </c>
      <c r="C12" s="5">
        <v>2011</v>
      </c>
      <c r="D12" s="5" t="s">
        <v>1039</v>
      </c>
      <c r="E12" s="117" t="s">
        <v>14</v>
      </c>
      <c r="F12" s="117" t="s">
        <v>14</v>
      </c>
      <c r="G12" s="834" t="s">
        <v>26</v>
      </c>
      <c r="H12" s="114">
        <v>5620.748799</v>
      </c>
      <c r="I12" s="221">
        <v>5407.9998000000005</v>
      </c>
      <c r="J12" s="17">
        <v>0</v>
      </c>
      <c r="K12" s="186">
        <v>212.748999</v>
      </c>
      <c r="L12" s="718">
        <v>212.74899899999946</v>
      </c>
      <c r="M12" s="249">
        <v>0</v>
      </c>
      <c r="N12" s="250">
        <f t="shared" si="2"/>
        <v>212.74899899999946</v>
      </c>
      <c r="O12" s="596">
        <v>0</v>
      </c>
      <c r="P12" s="67">
        <v>0</v>
      </c>
      <c r="Q12" s="47">
        <v>0</v>
      </c>
      <c r="R12" s="434">
        <v>0</v>
      </c>
      <c r="S12" s="18">
        <v>0</v>
      </c>
      <c r="T12" s="19">
        <v>0</v>
      </c>
      <c r="U12" s="18">
        <v>0</v>
      </c>
      <c r="V12" s="18">
        <v>0</v>
      </c>
      <c r="W12" s="55" t="s">
        <v>810</v>
      </c>
      <c r="X12" s="5" t="s">
        <v>22</v>
      </c>
      <c r="Y12" s="267" t="s">
        <v>571</v>
      </c>
      <c r="Z12" s="267" t="s">
        <v>838</v>
      </c>
      <c r="AA12" s="107" t="s">
        <v>838</v>
      </c>
    </row>
    <row r="13" spans="1:27" ht="30" x14ac:dyDescent="0.25">
      <c r="A13" s="835" t="s">
        <v>28</v>
      </c>
      <c r="B13" s="836" t="s">
        <v>29</v>
      </c>
      <c r="C13" s="638">
        <v>2015</v>
      </c>
      <c r="D13" s="638" t="s">
        <v>30</v>
      </c>
      <c r="E13" s="837" t="s">
        <v>14</v>
      </c>
      <c r="F13" s="837" t="s">
        <v>14</v>
      </c>
      <c r="G13" s="838" t="s">
        <v>31</v>
      </c>
      <c r="H13" s="572">
        <f>2276.279+1250-700</f>
        <v>2826.279</v>
      </c>
      <c r="I13" s="1873">
        <v>2247.0389999999998</v>
      </c>
      <c r="J13" s="691">
        <v>51</v>
      </c>
      <c r="K13" s="842">
        <f>1228.24-700</f>
        <v>528.24</v>
      </c>
      <c r="L13" s="843">
        <v>1279.2400000000002</v>
      </c>
      <c r="M13" s="844">
        <v>-700</v>
      </c>
      <c r="N13" s="845">
        <f t="shared" si="2"/>
        <v>579.24000000000024</v>
      </c>
      <c r="O13" s="846">
        <v>0</v>
      </c>
      <c r="P13" s="571">
        <v>0</v>
      </c>
      <c r="Q13" s="847">
        <v>0</v>
      </c>
      <c r="R13" s="840">
        <v>0</v>
      </c>
      <c r="S13" s="847">
        <v>0</v>
      </c>
      <c r="T13" s="848">
        <v>0</v>
      </c>
      <c r="U13" s="847">
        <v>0</v>
      </c>
      <c r="V13" s="847">
        <v>0</v>
      </c>
      <c r="W13" s="825" t="s">
        <v>1573</v>
      </c>
      <c r="X13" s="638" t="s">
        <v>48</v>
      </c>
      <c r="Y13" s="849" t="s">
        <v>27</v>
      </c>
      <c r="Z13" s="849" t="s">
        <v>838</v>
      </c>
      <c r="AA13" s="850" t="s">
        <v>838</v>
      </c>
    </row>
    <row r="14" spans="1:27" ht="25.5" x14ac:dyDescent="0.25">
      <c r="A14" s="68" t="s">
        <v>32</v>
      </c>
      <c r="B14" s="96" t="s">
        <v>33</v>
      </c>
      <c r="C14" s="85">
        <v>2016</v>
      </c>
      <c r="D14" s="5" t="s">
        <v>1038</v>
      </c>
      <c r="E14" s="147" t="s">
        <v>14</v>
      </c>
      <c r="F14" s="117" t="s">
        <v>14</v>
      </c>
      <c r="G14" s="852" t="s">
        <v>34</v>
      </c>
      <c r="H14" s="12">
        <v>1900</v>
      </c>
      <c r="I14" s="13">
        <v>625.25400000000002</v>
      </c>
      <c r="J14" s="17">
        <v>0</v>
      </c>
      <c r="K14" s="186">
        <v>1274.7460000000001</v>
      </c>
      <c r="L14" s="718">
        <v>1274.7460000000001</v>
      </c>
      <c r="M14" s="249">
        <v>0</v>
      </c>
      <c r="N14" s="250">
        <f t="shared" si="2"/>
        <v>1274.7460000000001</v>
      </c>
      <c r="O14" s="596">
        <v>0</v>
      </c>
      <c r="P14" s="67">
        <v>0</v>
      </c>
      <c r="Q14" s="47">
        <v>0</v>
      </c>
      <c r="R14" s="434">
        <v>0</v>
      </c>
      <c r="S14" s="18">
        <v>0</v>
      </c>
      <c r="T14" s="67">
        <v>0</v>
      </c>
      <c r="U14" s="47">
        <v>0</v>
      </c>
      <c r="V14" s="47">
        <v>0</v>
      </c>
      <c r="W14" s="55" t="s">
        <v>784</v>
      </c>
      <c r="X14" s="5" t="s">
        <v>16</v>
      </c>
      <c r="Y14" s="267" t="s">
        <v>27</v>
      </c>
      <c r="Z14" s="267" t="s">
        <v>838</v>
      </c>
      <c r="AA14" s="107" t="s">
        <v>838</v>
      </c>
    </row>
    <row r="15" spans="1:27" ht="26.25" thickBot="1" x14ac:dyDescent="0.3">
      <c r="A15" s="1042" t="s">
        <v>35</v>
      </c>
      <c r="B15" s="1313" t="s">
        <v>36</v>
      </c>
      <c r="C15" s="688">
        <v>2015</v>
      </c>
      <c r="D15" s="1576" t="s">
        <v>30</v>
      </c>
      <c r="E15" s="1655" t="s">
        <v>14</v>
      </c>
      <c r="F15" s="1655" t="s">
        <v>14</v>
      </c>
      <c r="G15" s="1656" t="s">
        <v>37</v>
      </c>
      <c r="H15" s="1657">
        <v>4164.8613999999998</v>
      </c>
      <c r="I15" s="1813">
        <v>664.86500000000001</v>
      </c>
      <c r="J15" s="1810">
        <v>0</v>
      </c>
      <c r="K15" s="1658">
        <v>0</v>
      </c>
      <c r="L15" s="1056">
        <v>3499.9964</v>
      </c>
      <c r="M15" s="1659">
        <v>-3499.9964</v>
      </c>
      <c r="N15" s="1660">
        <f t="shared" si="2"/>
        <v>0</v>
      </c>
      <c r="O15" s="1661">
        <v>0</v>
      </c>
      <c r="P15" s="1055">
        <v>0</v>
      </c>
      <c r="Q15" s="1660">
        <v>0</v>
      </c>
      <c r="R15" s="1057">
        <f>3500-0.0036</f>
        <v>3499.9964</v>
      </c>
      <c r="S15" s="1058">
        <v>0</v>
      </c>
      <c r="T15" s="1055">
        <f>3500-0.0036</f>
        <v>3499.9964</v>
      </c>
      <c r="U15" s="1660">
        <v>0</v>
      </c>
      <c r="V15" s="1660">
        <v>0</v>
      </c>
      <c r="W15" s="693" t="s">
        <v>837</v>
      </c>
      <c r="X15" s="688" t="s">
        <v>16</v>
      </c>
      <c r="Y15" s="1662" t="s">
        <v>865</v>
      </c>
      <c r="Z15" s="1663" t="s">
        <v>838</v>
      </c>
      <c r="AA15" s="1644" t="s">
        <v>838</v>
      </c>
    </row>
    <row r="16" spans="1:27" ht="25.5" x14ac:dyDescent="0.25">
      <c r="A16" s="853" t="s">
        <v>38</v>
      </c>
      <c r="B16" s="854" t="s">
        <v>802</v>
      </c>
      <c r="C16" s="855">
        <v>2019</v>
      </c>
      <c r="D16" s="518" t="s">
        <v>811</v>
      </c>
      <c r="E16" s="507" t="s">
        <v>14</v>
      </c>
      <c r="F16" s="856" t="s">
        <v>14</v>
      </c>
      <c r="G16" s="857" t="s">
        <v>39</v>
      </c>
      <c r="H16" s="858">
        <v>330</v>
      </c>
      <c r="I16" s="1874">
        <v>0</v>
      </c>
      <c r="J16" s="512">
        <v>0</v>
      </c>
      <c r="K16" s="829">
        <f>250+80</f>
        <v>330</v>
      </c>
      <c r="L16" s="830">
        <v>250</v>
      </c>
      <c r="M16" s="831">
        <v>80</v>
      </c>
      <c r="N16" s="860">
        <f t="shared" si="2"/>
        <v>330</v>
      </c>
      <c r="O16" s="861">
        <v>0</v>
      </c>
      <c r="P16" s="862">
        <v>0</v>
      </c>
      <c r="Q16" s="863">
        <v>0</v>
      </c>
      <c r="R16" s="828">
        <v>0</v>
      </c>
      <c r="S16" s="1156">
        <v>0</v>
      </c>
      <c r="T16" s="863">
        <v>0</v>
      </c>
      <c r="U16" s="863">
        <v>0</v>
      </c>
      <c r="V16" s="863">
        <v>0</v>
      </c>
      <c r="W16" s="506" t="s">
        <v>1574</v>
      </c>
      <c r="X16" s="507" t="s">
        <v>22</v>
      </c>
      <c r="Y16" s="864" t="s">
        <v>27</v>
      </c>
      <c r="Z16" s="864" t="s">
        <v>838</v>
      </c>
      <c r="AA16" s="865" t="s">
        <v>838</v>
      </c>
    </row>
    <row r="17" spans="1:27" s="717" customFormat="1" ht="25.5" x14ac:dyDescent="0.25">
      <c r="A17" s="778" t="s">
        <v>40</v>
      </c>
      <c r="B17" s="866" t="s">
        <v>1184</v>
      </c>
      <c r="C17" s="824">
        <v>2019</v>
      </c>
      <c r="D17" s="518" t="s">
        <v>811</v>
      </c>
      <c r="E17" s="518" t="s">
        <v>14</v>
      </c>
      <c r="F17" s="817" t="s">
        <v>14</v>
      </c>
      <c r="G17" s="867" t="s">
        <v>41</v>
      </c>
      <c r="H17" s="868">
        <f>1200+900</f>
        <v>2100</v>
      </c>
      <c r="I17" s="724">
        <v>0</v>
      </c>
      <c r="J17" s="521">
        <v>145.19999999999999</v>
      </c>
      <c r="K17" s="871">
        <f>1151.6+900-96.8</f>
        <v>1954.8</v>
      </c>
      <c r="L17" s="872">
        <v>1200</v>
      </c>
      <c r="M17" s="873">
        <v>900</v>
      </c>
      <c r="N17" s="874">
        <f t="shared" si="2"/>
        <v>2100</v>
      </c>
      <c r="O17" s="875">
        <v>0</v>
      </c>
      <c r="P17" s="785">
        <v>0</v>
      </c>
      <c r="Q17" s="876">
        <v>0</v>
      </c>
      <c r="R17" s="781">
        <v>0</v>
      </c>
      <c r="S17" s="783">
        <v>0</v>
      </c>
      <c r="T17" s="876">
        <v>0</v>
      </c>
      <c r="U17" s="876">
        <v>0</v>
      </c>
      <c r="V17" s="876">
        <v>0</v>
      </c>
      <c r="W17" s="491" t="s">
        <v>1575</v>
      </c>
      <c r="X17" s="518" t="s">
        <v>16</v>
      </c>
      <c r="Y17" s="787" t="s">
        <v>571</v>
      </c>
      <c r="Z17" s="787" t="s">
        <v>838</v>
      </c>
      <c r="AA17" s="786" t="s">
        <v>838</v>
      </c>
    </row>
    <row r="18" spans="1:27" ht="30" customHeight="1" x14ac:dyDescent="0.25">
      <c r="A18" s="1241" t="s">
        <v>42</v>
      </c>
      <c r="B18" s="1313" t="s">
        <v>802</v>
      </c>
      <c r="C18" s="1664">
        <v>2019</v>
      </c>
      <c r="D18" s="657" t="s">
        <v>811</v>
      </c>
      <c r="E18" s="657" t="s">
        <v>14</v>
      </c>
      <c r="F18" s="1665" t="s">
        <v>14</v>
      </c>
      <c r="G18" s="1666" t="s">
        <v>43</v>
      </c>
      <c r="H18" s="1667">
        <v>100</v>
      </c>
      <c r="I18" s="814">
        <v>0</v>
      </c>
      <c r="J18" s="813">
        <v>0</v>
      </c>
      <c r="K18" s="1309">
        <v>0</v>
      </c>
      <c r="L18" s="1310">
        <v>100</v>
      </c>
      <c r="M18" s="1052">
        <v>-100</v>
      </c>
      <c r="N18" s="1053">
        <f t="shared" si="2"/>
        <v>0</v>
      </c>
      <c r="O18" s="1051">
        <v>0</v>
      </c>
      <c r="P18" s="1310">
        <v>0</v>
      </c>
      <c r="Q18" s="1053">
        <v>0</v>
      </c>
      <c r="R18" s="1049">
        <v>0</v>
      </c>
      <c r="S18" s="1244">
        <v>0</v>
      </c>
      <c r="T18" s="1053">
        <v>100</v>
      </c>
      <c r="U18" s="1053">
        <v>0</v>
      </c>
      <c r="V18" s="1053">
        <v>0</v>
      </c>
      <c r="W18" s="693" t="s">
        <v>837</v>
      </c>
      <c r="X18" s="657" t="s">
        <v>22</v>
      </c>
      <c r="Y18" s="1061" t="s">
        <v>865</v>
      </c>
      <c r="Z18" s="1061" t="s">
        <v>838</v>
      </c>
      <c r="AA18" s="1062" t="s">
        <v>838</v>
      </c>
    </row>
    <row r="19" spans="1:27" ht="30.75" thickBot="1" x14ac:dyDescent="0.3">
      <c r="A19" s="877" t="s">
        <v>44</v>
      </c>
      <c r="B19" s="878" t="s">
        <v>802</v>
      </c>
      <c r="C19" s="879">
        <v>2019</v>
      </c>
      <c r="D19" s="880" t="s">
        <v>811</v>
      </c>
      <c r="E19" s="881" t="s">
        <v>14</v>
      </c>
      <c r="F19" s="882" t="s">
        <v>14</v>
      </c>
      <c r="G19" s="883" t="s">
        <v>45</v>
      </c>
      <c r="H19" s="884">
        <f>500-100</f>
        <v>400</v>
      </c>
      <c r="I19" s="1875">
        <v>0</v>
      </c>
      <c r="J19" s="885">
        <v>0</v>
      </c>
      <c r="K19" s="1949">
        <v>400</v>
      </c>
      <c r="L19" s="886">
        <v>500</v>
      </c>
      <c r="M19" s="887">
        <v>-100</v>
      </c>
      <c r="N19" s="888">
        <f t="shared" si="2"/>
        <v>400</v>
      </c>
      <c r="O19" s="889">
        <v>0</v>
      </c>
      <c r="P19" s="890">
        <v>0</v>
      </c>
      <c r="Q19" s="891">
        <v>0</v>
      </c>
      <c r="R19" s="2020">
        <v>0</v>
      </c>
      <c r="S19" s="2021">
        <v>0</v>
      </c>
      <c r="T19" s="891">
        <v>0</v>
      </c>
      <c r="U19" s="891">
        <v>0</v>
      </c>
      <c r="V19" s="891">
        <v>0</v>
      </c>
      <c r="W19" s="892" t="s">
        <v>1576</v>
      </c>
      <c r="X19" s="880" t="s">
        <v>48</v>
      </c>
      <c r="Y19" s="893" t="s">
        <v>27</v>
      </c>
      <c r="Z19" s="893" t="s">
        <v>838</v>
      </c>
      <c r="AA19" s="894" t="s">
        <v>838</v>
      </c>
    </row>
    <row r="20" spans="1:27" ht="32.25" customHeight="1" thickBot="1" x14ac:dyDescent="0.3">
      <c r="A20" s="895" t="s">
        <v>973</v>
      </c>
      <c r="B20" s="896" t="s">
        <v>802</v>
      </c>
      <c r="C20" s="897">
        <v>2019</v>
      </c>
      <c r="D20" s="898" t="s">
        <v>1175</v>
      </c>
      <c r="E20" s="899" t="s">
        <v>14</v>
      </c>
      <c r="F20" s="900" t="s">
        <v>14</v>
      </c>
      <c r="G20" s="901" t="s">
        <v>974</v>
      </c>
      <c r="H20" s="902">
        <f>700-80</f>
        <v>620</v>
      </c>
      <c r="I20" s="1376">
        <v>0</v>
      </c>
      <c r="J20" s="903">
        <v>0</v>
      </c>
      <c r="K20" s="904">
        <f>700-80</f>
        <v>620</v>
      </c>
      <c r="L20" s="905">
        <v>700</v>
      </c>
      <c r="M20" s="906">
        <v>-80</v>
      </c>
      <c r="N20" s="907">
        <f t="shared" si="2"/>
        <v>620</v>
      </c>
      <c r="O20" s="908">
        <v>0</v>
      </c>
      <c r="P20" s="909">
        <v>0</v>
      </c>
      <c r="Q20" s="910">
        <v>0</v>
      </c>
      <c r="R20" s="2022">
        <v>0</v>
      </c>
      <c r="S20" s="2023">
        <v>0</v>
      </c>
      <c r="T20" s="910">
        <v>0</v>
      </c>
      <c r="U20" s="910">
        <v>0</v>
      </c>
      <c r="V20" s="910">
        <v>0</v>
      </c>
      <c r="W20" s="911" t="s">
        <v>1577</v>
      </c>
      <c r="X20" s="898" t="s">
        <v>48</v>
      </c>
      <c r="Y20" s="912" t="s">
        <v>571</v>
      </c>
      <c r="Z20" s="1960" t="s">
        <v>838</v>
      </c>
      <c r="AA20" s="912" t="s">
        <v>838</v>
      </c>
    </row>
    <row r="21" spans="1:27" ht="25.5" x14ac:dyDescent="0.25">
      <c r="A21" s="913" t="s">
        <v>1266</v>
      </c>
      <c r="B21" s="914" t="s">
        <v>802</v>
      </c>
      <c r="C21" s="498">
        <v>2019</v>
      </c>
      <c r="D21" s="659" t="s">
        <v>784</v>
      </c>
      <c r="E21" s="915" t="s">
        <v>14</v>
      </c>
      <c r="F21" s="1871" t="s">
        <v>14</v>
      </c>
      <c r="G21" s="1870" t="s">
        <v>1633</v>
      </c>
      <c r="H21" s="714">
        <v>10000</v>
      </c>
      <c r="I21" s="1814">
        <v>0</v>
      </c>
      <c r="J21" s="916">
        <v>0</v>
      </c>
      <c r="K21" s="918">
        <v>0</v>
      </c>
      <c r="L21" s="919">
        <v>0</v>
      </c>
      <c r="M21" s="920">
        <v>0</v>
      </c>
      <c r="N21" s="921">
        <v>0</v>
      </c>
      <c r="O21" s="922">
        <v>0</v>
      </c>
      <c r="P21" s="919">
        <v>0</v>
      </c>
      <c r="Q21" s="921">
        <v>0</v>
      </c>
      <c r="R21" s="1109">
        <v>0</v>
      </c>
      <c r="S21" s="1402">
        <v>0</v>
      </c>
      <c r="T21" s="921">
        <v>4500</v>
      </c>
      <c r="U21" s="921">
        <v>5500</v>
      </c>
      <c r="V21" s="921">
        <v>0</v>
      </c>
      <c r="W21" s="498" t="s">
        <v>784</v>
      </c>
      <c r="X21" s="659" t="s">
        <v>22</v>
      </c>
      <c r="Y21" s="923" t="s">
        <v>870</v>
      </c>
      <c r="Z21" s="1961" t="s">
        <v>838</v>
      </c>
      <c r="AA21" s="924" t="s">
        <v>838</v>
      </c>
    </row>
    <row r="22" spans="1:27" ht="25.5" x14ac:dyDescent="0.25">
      <c r="A22" s="994" t="s">
        <v>1267</v>
      </c>
      <c r="B22" s="983" t="s">
        <v>802</v>
      </c>
      <c r="C22" s="1380">
        <v>2019</v>
      </c>
      <c r="D22" s="659" t="s">
        <v>784</v>
      </c>
      <c r="E22" s="915" t="s">
        <v>14</v>
      </c>
      <c r="F22" s="985" t="s">
        <v>14</v>
      </c>
      <c r="G22" s="1870" t="s">
        <v>1634</v>
      </c>
      <c r="H22" s="916">
        <v>120</v>
      </c>
      <c r="I22" s="1814">
        <v>0</v>
      </c>
      <c r="J22" s="696">
        <v>0</v>
      </c>
      <c r="K22" s="918">
        <v>0</v>
      </c>
      <c r="L22" s="919">
        <v>0</v>
      </c>
      <c r="M22" s="920">
        <v>0</v>
      </c>
      <c r="N22" s="921">
        <v>0</v>
      </c>
      <c r="O22" s="922">
        <v>0</v>
      </c>
      <c r="P22" s="919">
        <v>0</v>
      </c>
      <c r="Q22" s="921">
        <v>0</v>
      </c>
      <c r="R22" s="1109">
        <v>120</v>
      </c>
      <c r="S22" s="1402">
        <v>0</v>
      </c>
      <c r="T22" s="921">
        <v>120</v>
      </c>
      <c r="U22" s="921">
        <v>0</v>
      </c>
      <c r="V22" s="921">
        <v>0</v>
      </c>
      <c r="W22" s="498" t="s">
        <v>784</v>
      </c>
      <c r="X22" s="659" t="s">
        <v>22</v>
      </c>
      <c r="Y22" s="923" t="s">
        <v>894</v>
      </c>
      <c r="Z22" s="1304" t="s">
        <v>838</v>
      </c>
      <c r="AA22" s="1008" t="s">
        <v>838</v>
      </c>
    </row>
    <row r="23" spans="1:27" ht="25.5" x14ac:dyDescent="0.25">
      <c r="A23" s="994" t="s">
        <v>1629</v>
      </c>
      <c r="B23" s="2065" t="s">
        <v>802</v>
      </c>
      <c r="C23" s="2066">
        <v>2019</v>
      </c>
      <c r="D23" s="646" t="s">
        <v>784</v>
      </c>
      <c r="E23" s="990" t="s">
        <v>14</v>
      </c>
      <c r="F23" s="997" t="s">
        <v>14</v>
      </c>
      <c r="G23" s="2067" t="s">
        <v>1632</v>
      </c>
      <c r="H23" s="696">
        <v>1300</v>
      </c>
      <c r="I23" s="697">
        <v>0</v>
      </c>
      <c r="J23" s="696">
        <v>0</v>
      </c>
      <c r="K23" s="1005">
        <v>0</v>
      </c>
      <c r="L23" s="1003">
        <v>0</v>
      </c>
      <c r="M23" s="1001">
        <v>0</v>
      </c>
      <c r="N23" s="2019">
        <v>0</v>
      </c>
      <c r="O23" s="1004">
        <v>0</v>
      </c>
      <c r="P23" s="1003">
        <v>0</v>
      </c>
      <c r="Q23" s="2019">
        <v>0</v>
      </c>
      <c r="R23" s="998">
        <v>1300</v>
      </c>
      <c r="S23" s="1125">
        <v>0</v>
      </c>
      <c r="T23" s="2019">
        <v>1300</v>
      </c>
      <c r="U23" s="2019">
        <v>0</v>
      </c>
      <c r="V23" s="2019">
        <v>0</v>
      </c>
      <c r="W23" s="500" t="s">
        <v>784</v>
      </c>
      <c r="X23" s="646" t="s">
        <v>22</v>
      </c>
      <c r="Y23" s="1304" t="s">
        <v>571</v>
      </c>
      <c r="Z23" s="1304" t="s">
        <v>838</v>
      </c>
      <c r="AA23" s="1008" t="s">
        <v>838</v>
      </c>
    </row>
    <row r="24" spans="1:27" ht="15.75" thickBot="1" x14ac:dyDescent="0.3">
      <c r="A24" s="180"/>
      <c r="B24" s="733"/>
      <c r="C24" s="231"/>
      <c r="D24" s="240"/>
      <c r="E24" s="181"/>
      <c r="F24" s="92"/>
      <c r="G24" s="237"/>
      <c r="H24" s="182"/>
      <c r="I24" s="1382"/>
      <c r="J24" s="182"/>
      <c r="K24" s="729"/>
      <c r="L24" s="731"/>
      <c r="M24" s="253"/>
      <c r="N24" s="254"/>
      <c r="O24" s="222"/>
      <c r="P24" s="9"/>
      <c r="Q24" s="239"/>
      <c r="R24" s="560"/>
      <c r="S24" s="10"/>
      <c r="T24" s="239"/>
      <c r="U24" s="239"/>
      <c r="V24" s="239"/>
      <c r="W24" s="196"/>
      <c r="X24" s="58"/>
      <c r="Y24" s="554"/>
      <c r="Z24" s="269"/>
      <c r="AA24" s="573"/>
    </row>
    <row r="25" spans="1:27" ht="33.75" customHeight="1" thickBot="1" x14ac:dyDescent="0.3">
      <c r="A25" s="378" t="s">
        <v>784</v>
      </c>
      <c r="B25" s="630" t="s">
        <v>784</v>
      </c>
      <c r="C25" s="210" t="s">
        <v>784</v>
      </c>
      <c r="D25" s="116" t="s">
        <v>784</v>
      </c>
      <c r="E25" s="800" t="s">
        <v>784</v>
      </c>
      <c r="F25" s="160" t="s">
        <v>784</v>
      </c>
      <c r="G25" s="803" t="s">
        <v>921</v>
      </c>
      <c r="H25" s="99">
        <f t="shared" ref="H25:K25" si="3">SUM(H11:H21)</f>
        <v>83604.109198999999</v>
      </c>
      <c r="I25" s="504">
        <f t="shared" si="3"/>
        <v>51286.971799999992</v>
      </c>
      <c r="J25" s="99">
        <v>196.2</v>
      </c>
      <c r="K25" s="443">
        <f t="shared" si="3"/>
        <v>6320.9409990000004</v>
      </c>
      <c r="L25" s="413">
        <v>16567.137399000003</v>
      </c>
      <c r="M25" s="99">
        <f t="shared" ref="M25:V25" si="4">SUM(M11:M21)</f>
        <v>-10049.9964</v>
      </c>
      <c r="N25" s="99">
        <f t="shared" si="4"/>
        <v>6517.1409990000029</v>
      </c>
      <c r="O25" s="438">
        <f t="shared" si="4"/>
        <v>0</v>
      </c>
      <c r="P25" s="413">
        <f t="shared" si="4"/>
        <v>0</v>
      </c>
      <c r="Q25" s="615">
        <f t="shared" si="4"/>
        <v>0</v>
      </c>
      <c r="R25" s="441">
        <f t="shared" si="4"/>
        <v>7399.9964</v>
      </c>
      <c r="S25" s="615">
        <f t="shared" si="4"/>
        <v>0</v>
      </c>
      <c r="T25" s="413">
        <f t="shared" si="4"/>
        <v>16299.9964</v>
      </c>
      <c r="U25" s="413">
        <f t="shared" si="4"/>
        <v>9500</v>
      </c>
      <c r="V25" s="413">
        <f t="shared" si="4"/>
        <v>0</v>
      </c>
      <c r="W25" s="134" t="s">
        <v>1654</v>
      </c>
      <c r="X25" s="100" t="s">
        <v>784</v>
      </c>
      <c r="Y25" s="134" t="s">
        <v>784</v>
      </c>
      <c r="Z25" s="407" t="s">
        <v>784</v>
      </c>
      <c r="AA25" s="100" t="s">
        <v>784</v>
      </c>
    </row>
    <row r="26" spans="1:27" s="717" customFormat="1" ht="54.75" customHeight="1" x14ac:dyDescent="0.25">
      <c r="A26" s="1853" t="s">
        <v>812</v>
      </c>
      <c r="B26" s="1854" t="s">
        <v>46</v>
      </c>
      <c r="C26" s="1355">
        <v>2011</v>
      </c>
      <c r="D26" s="683" t="s">
        <v>1037</v>
      </c>
      <c r="E26" s="1855" t="s">
        <v>14</v>
      </c>
      <c r="F26" s="1856" t="s">
        <v>14</v>
      </c>
      <c r="G26" s="1857" t="s">
        <v>47</v>
      </c>
      <c r="H26" s="1653">
        <f>16659.59+29+23</f>
        <v>16711.59</v>
      </c>
      <c r="I26" s="1872">
        <v>13036.527400000001</v>
      </c>
      <c r="J26" s="1653">
        <v>573.54</v>
      </c>
      <c r="K26" s="1609">
        <v>0</v>
      </c>
      <c r="L26" s="1838">
        <v>1673.54</v>
      </c>
      <c r="M26" s="1326">
        <v>-1100</v>
      </c>
      <c r="N26" s="1611">
        <f t="shared" ref="N26:N40" si="5">L26+M26</f>
        <v>573.54</v>
      </c>
      <c r="O26" s="1858">
        <v>0</v>
      </c>
      <c r="P26" s="1353">
        <v>0</v>
      </c>
      <c r="Q26" s="1613">
        <v>0</v>
      </c>
      <c r="R26" s="1956">
        <v>1100</v>
      </c>
      <c r="S26" s="1613">
        <v>0</v>
      </c>
      <c r="T26" s="1353">
        <f>1100+1949.5226+29+23</f>
        <v>3101.5226000000002</v>
      </c>
      <c r="U26" s="1613">
        <v>0</v>
      </c>
      <c r="V26" s="1613">
        <v>0</v>
      </c>
      <c r="W26" s="662" t="s">
        <v>1618</v>
      </c>
      <c r="X26" s="1859" t="s">
        <v>48</v>
      </c>
      <c r="Y26" s="1860" t="s">
        <v>317</v>
      </c>
      <c r="Z26" s="1861" t="s">
        <v>839</v>
      </c>
      <c r="AA26" s="1862" t="s">
        <v>839</v>
      </c>
    </row>
    <row r="27" spans="1:27" s="710" customFormat="1" ht="25.5" x14ac:dyDescent="0.25">
      <c r="A27" s="544" t="s">
        <v>813</v>
      </c>
      <c r="B27" s="754" t="s">
        <v>49</v>
      </c>
      <c r="C27" s="352">
        <v>2011</v>
      </c>
      <c r="D27" s="352" t="s">
        <v>1037</v>
      </c>
      <c r="E27" s="353" t="s">
        <v>14</v>
      </c>
      <c r="F27" s="354" t="s">
        <v>14</v>
      </c>
      <c r="G27" s="355" t="s">
        <v>50</v>
      </c>
      <c r="H27" s="356">
        <f>3836.825-3.18038</f>
        <v>3833.64462</v>
      </c>
      <c r="I27" s="734">
        <f>3455.93102</f>
        <v>3455.93102</v>
      </c>
      <c r="J27" s="22">
        <v>377.71359999999999</v>
      </c>
      <c r="K27" s="461">
        <v>0</v>
      </c>
      <c r="L27" s="460">
        <v>377.71359999999999</v>
      </c>
      <c r="M27" s="539">
        <v>0</v>
      </c>
      <c r="N27" s="312">
        <f t="shared" si="5"/>
        <v>377.71359999999999</v>
      </c>
      <c r="O27" s="601">
        <v>0</v>
      </c>
      <c r="P27" s="357">
        <v>0</v>
      </c>
      <c r="Q27" s="621">
        <v>0</v>
      </c>
      <c r="R27" s="2005">
        <v>0</v>
      </c>
      <c r="S27" s="621">
        <v>0</v>
      </c>
      <c r="T27" s="357">
        <v>0</v>
      </c>
      <c r="U27" s="621">
        <v>0</v>
      </c>
      <c r="V27" s="621">
        <v>0</v>
      </c>
      <c r="W27" s="118" t="s">
        <v>784</v>
      </c>
      <c r="X27" s="755" t="s">
        <v>877</v>
      </c>
      <c r="Y27" s="756" t="s">
        <v>329</v>
      </c>
      <c r="Z27" s="315" t="s">
        <v>839</v>
      </c>
      <c r="AA27" s="201" t="s">
        <v>839</v>
      </c>
    </row>
    <row r="28" spans="1:27" s="717" customFormat="1" ht="25.5" x14ac:dyDescent="0.25">
      <c r="A28" s="1285" t="s">
        <v>814</v>
      </c>
      <c r="B28" s="1412" t="s">
        <v>51</v>
      </c>
      <c r="C28" s="1287">
        <v>2013</v>
      </c>
      <c r="D28" s="1287" t="s">
        <v>1036</v>
      </c>
      <c r="E28" s="1413" t="s">
        <v>14</v>
      </c>
      <c r="F28" s="1414" t="s">
        <v>14</v>
      </c>
      <c r="G28" s="1415" t="s">
        <v>52</v>
      </c>
      <c r="H28" s="517">
        <f>1182.025+540.2</f>
        <v>1722.2250000000001</v>
      </c>
      <c r="I28" s="1420">
        <v>663.02</v>
      </c>
      <c r="J28" s="521">
        <v>0</v>
      </c>
      <c r="K28" s="1290">
        <v>0</v>
      </c>
      <c r="L28" s="1040">
        <v>0</v>
      </c>
      <c r="M28" s="873">
        <v>0</v>
      </c>
      <c r="N28" s="874">
        <f t="shared" si="5"/>
        <v>0</v>
      </c>
      <c r="O28" s="1291">
        <v>0</v>
      </c>
      <c r="P28" s="1292">
        <v>0</v>
      </c>
      <c r="Q28" s="1416">
        <v>0</v>
      </c>
      <c r="R28" s="2006">
        <v>0</v>
      </c>
      <c r="S28" s="1416">
        <f>519.005+540.2</f>
        <v>1059.2049999999999</v>
      </c>
      <c r="T28" s="1292">
        <f>519.005+540.2</f>
        <v>1059.2049999999999</v>
      </c>
      <c r="U28" s="1416">
        <v>0</v>
      </c>
      <c r="V28" s="1416">
        <v>0</v>
      </c>
      <c r="W28" s="491" t="s">
        <v>1535</v>
      </c>
      <c r="X28" s="1417" t="s">
        <v>22</v>
      </c>
      <c r="Y28" s="1418" t="s">
        <v>1417</v>
      </c>
      <c r="Z28" s="1296" t="s">
        <v>839</v>
      </c>
      <c r="AA28" s="1419" t="s">
        <v>839</v>
      </c>
    </row>
    <row r="29" spans="1:27" ht="48" customHeight="1" x14ac:dyDescent="0.25">
      <c r="A29" s="1178" t="s">
        <v>815</v>
      </c>
      <c r="B29" s="1668" t="s">
        <v>53</v>
      </c>
      <c r="C29" s="657">
        <v>2018</v>
      </c>
      <c r="D29" s="657" t="s">
        <v>816</v>
      </c>
      <c r="E29" s="1045" t="s">
        <v>14</v>
      </c>
      <c r="F29" s="1669" t="s">
        <v>14</v>
      </c>
      <c r="G29" s="1666" t="s">
        <v>54</v>
      </c>
      <c r="H29" s="813">
        <v>23232</v>
      </c>
      <c r="I29" s="721">
        <v>0</v>
      </c>
      <c r="J29" s="813">
        <v>15371.5375</v>
      </c>
      <c r="K29" s="1050">
        <v>0</v>
      </c>
      <c r="L29" s="1051">
        <v>17000</v>
      </c>
      <c r="M29" s="1052">
        <v>-1628.4625000000001</v>
      </c>
      <c r="N29" s="1053">
        <f t="shared" si="5"/>
        <v>15371.5375</v>
      </c>
      <c r="O29" s="1311">
        <v>0</v>
      </c>
      <c r="P29" s="1310">
        <v>0</v>
      </c>
      <c r="Q29" s="1244">
        <v>0</v>
      </c>
      <c r="R29" s="2007">
        <v>0</v>
      </c>
      <c r="S29" s="1192">
        <v>5445</v>
      </c>
      <c r="T29" s="1310">
        <f>S29+R29</f>
        <v>5445</v>
      </c>
      <c r="U29" s="1244">
        <f>2415+0.4625</f>
        <v>2415.4625000000001</v>
      </c>
      <c r="V29" s="1244">
        <v>0</v>
      </c>
      <c r="W29" s="689" t="s">
        <v>1578</v>
      </c>
      <c r="X29" s="1622" t="s">
        <v>48</v>
      </c>
      <c r="Y29" s="1672" t="s">
        <v>1418</v>
      </c>
      <c r="Z29" s="1061" t="s">
        <v>839</v>
      </c>
      <c r="AA29" s="1317" t="s">
        <v>839</v>
      </c>
    </row>
    <row r="30" spans="1:27" s="686" customFormat="1" ht="38.25" x14ac:dyDescent="0.25">
      <c r="A30" s="1673" t="s">
        <v>817</v>
      </c>
      <c r="B30" s="1674" t="s">
        <v>55</v>
      </c>
      <c r="C30" s="1675">
        <v>2018</v>
      </c>
      <c r="D30" s="1675" t="s">
        <v>816</v>
      </c>
      <c r="E30" s="1676" t="s">
        <v>14</v>
      </c>
      <c r="F30" s="1677" t="s">
        <v>14</v>
      </c>
      <c r="G30" s="1678" t="s">
        <v>56</v>
      </c>
      <c r="H30" s="1679">
        <f>25400-500</f>
        <v>24900</v>
      </c>
      <c r="I30" s="1876">
        <v>0</v>
      </c>
      <c r="J30" s="1679">
        <v>0</v>
      </c>
      <c r="K30" s="1680">
        <v>14405</v>
      </c>
      <c r="L30" s="1681">
        <v>16638</v>
      </c>
      <c r="M30" s="1670">
        <v>-2233</v>
      </c>
      <c r="N30" s="1682">
        <f t="shared" si="5"/>
        <v>14405</v>
      </c>
      <c r="O30" s="1683">
        <v>0</v>
      </c>
      <c r="P30" s="1684">
        <v>0</v>
      </c>
      <c r="Q30" s="1685">
        <v>0</v>
      </c>
      <c r="R30" s="2008">
        <v>0</v>
      </c>
      <c r="S30" s="1686">
        <v>0</v>
      </c>
      <c r="T30" s="1684">
        <v>0</v>
      </c>
      <c r="U30" s="1685">
        <v>10495</v>
      </c>
      <c r="V30" s="1685">
        <v>0</v>
      </c>
      <c r="W30" s="1425" t="s">
        <v>1579</v>
      </c>
      <c r="X30" s="1687" t="s">
        <v>16</v>
      </c>
      <c r="Y30" s="1688" t="s">
        <v>571</v>
      </c>
      <c r="Z30" s="1688" t="s">
        <v>838</v>
      </c>
      <c r="AA30" s="1689" t="s">
        <v>838</v>
      </c>
    </row>
    <row r="31" spans="1:27" ht="25.5" x14ac:dyDescent="0.25">
      <c r="A31" s="274" t="s">
        <v>818</v>
      </c>
      <c r="B31" s="275" t="s">
        <v>802</v>
      </c>
      <c r="C31" s="276">
        <v>2018</v>
      </c>
      <c r="D31" s="276" t="s">
        <v>816</v>
      </c>
      <c r="E31" s="469" t="s">
        <v>14</v>
      </c>
      <c r="F31" s="1016" t="s">
        <v>14</v>
      </c>
      <c r="G31" s="1017" t="s">
        <v>57</v>
      </c>
      <c r="H31" s="277">
        <v>700</v>
      </c>
      <c r="I31" s="581">
        <v>0</v>
      </c>
      <c r="J31" s="17">
        <v>0</v>
      </c>
      <c r="K31" s="450">
        <v>0</v>
      </c>
      <c r="L31" s="59">
        <v>0</v>
      </c>
      <c r="M31" s="249">
        <v>0</v>
      </c>
      <c r="N31" s="250">
        <f t="shared" si="5"/>
        <v>0</v>
      </c>
      <c r="O31" s="598">
        <v>0</v>
      </c>
      <c r="P31" s="278">
        <v>0</v>
      </c>
      <c r="Q31" s="279">
        <v>0</v>
      </c>
      <c r="R31" s="2005">
        <v>0</v>
      </c>
      <c r="S31" s="621">
        <v>0</v>
      </c>
      <c r="T31" s="278">
        <v>0</v>
      </c>
      <c r="U31" s="279">
        <v>700</v>
      </c>
      <c r="V31" s="279">
        <v>0</v>
      </c>
      <c r="W31" s="55" t="s">
        <v>58</v>
      </c>
      <c r="X31" s="281" t="s">
        <v>22</v>
      </c>
      <c r="Y31" s="296" t="s">
        <v>317</v>
      </c>
      <c r="Z31" s="296" t="s">
        <v>838</v>
      </c>
      <c r="AA31" s="1015" t="s">
        <v>838</v>
      </c>
    </row>
    <row r="32" spans="1:27" ht="25.5" x14ac:dyDescent="0.25">
      <c r="A32" s="1178" t="s">
        <v>819</v>
      </c>
      <c r="B32" s="1690" t="s">
        <v>786</v>
      </c>
      <c r="C32" s="688">
        <v>2018</v>
      </c>
      <c r="D32" s="657" t="s">
        <v>816</v>
      </c>
      <c r="E32" s="1691" t="s">
        <v>14</v>
      </c>
      <c r="F32" s="1691" t="s">
        <v>14</v>
      </c>
      <c r="G32" s="1666" t="s">
        <v>59</v>
      </c>
      <c r="H32" s="1048">
        <v>2000</v>
      </c>
      <c r="I32" s="692">
        <v>0</v>
      </c>
      <c r="J32" s="813">
        <v>59.021000000000001</v>
      </c>
      <c r="K32" s="1050">
        <v>225</v>
      </c>
      <c r="L32" s="1051">
        <v>1000</v>
      </c>
      <c r="M32" s="1052">
        <v>-715.97900000000004</v>
      </c>
      <c r="N32" s="1660">
        <f t="shared" si="5"/>
        <v>284.02099999999996</v>
      </c>
      <c r="O32" s="1063">
        <v>0</v>
      </c>
      <c r="P32" s="1310">
        <v>0</v>
      </c>
      <c r="Q32" s="1692">
        <v>0</v>
      </c>
      <c r="R32" s="2007">
        <v>0</v>
      </c>
      <c r="S32" s="1671">
        <v>0</v>
      </c>
      <c r="T32" s="1692">
        <v>1715.979</v>
      </c>
      <c r="U32" s="1692">
        <v>0</v>
      </c>
      <c r="V32" s="1692">
        <v>0</v>
      </c>
      <c r="W32" s="693" t="s">
        <v>1580</v>
      </c>
      <c r="X32" s="1622" t="s">
        <v>48</v>
      </c>
      <c r="Y32" s="1672" t="s">
        <v>317</v>
      </c>
      <c r="Z32" s="1672" t="s">
        <v>799</v>
      </c>
      <c r="AA32" s="1317" t="s">
        <v>839</v>
      </c>
    </row>
    <row r="33" spans="1:27" ht="32.25" customHeight="1" x14ac:dyDescent="0.25">
      <c r="A33" s="68" t="s">
        <v>820</v>
      </c>
      <c r="B33" s="623" t="s">
        <v>821</v>
      </c>
      <c r="C33" s="85">
        <v>2018</v>
      </c>
      <c r="D33" s="5" t="s">
        <v>816</v>
      </c>
      <c r="E33" s="84" t="s">
        <v>14</v>
      </c>
      <c r="F33" s="69" t="s">
        <v>14</v>
      </c>
      <c r="G33" s="834" t="s">
        <v>60</v>
      </c>
      <c r="H33" s="285">
        <v>3000</v>
      </c>
      <c r="I33" s="582">
        <v>0</v>
      </c>
      <c r="J33" s="17">
        <v>0</v>
      </c>
      <c r="K33" s="450">
        <v>1000</v>
      </c>
      <c r="L33" s="59">
        <v>1000</v>
      </c>
      <c r="M33" s="249">
        <v>0</v>
      </c>
      <c r="N33" s="252">
        <f t="shared" si="5"/>
        <v>1000</v>
      </c>
      <c r="O33" s="599">
        <v>0</v>
      </c>
      <c r="P33" s="278">
        <v>0</v>
      </c>
      <c r="Q33" s="287">
        <v>0</v>
      </c>
      <c r="R33" s="2005">
        <v>0</v>
      </c>
      <c r="S33" s="621">
        <v>0</v>
      </c>
      <c r="T33" s="286">
        <v>2000</v>
      </c>
      <c r="U33" s="287">
        <v>0</v>
      </c>
      <c r="V33" s="287">
        <v>0</v>
      </c>
      <c r="W33" s="122" t="s">
        <v>1419</v>
      </c>
      <c r="X33" s="281" t="s">
        <v>16</v>
      </c>
      <c r="Y33" s="296" t="s">
        <v>312</v>
      </c>
      <c r="Z33" s="296" t="s">
        <v>838</v>
      </c>
      <c r="AA33" s="1015" t="s">
        <v>838</v>
      </c>
    </row>
    <row r="34" spans="1:27" ht="26.25" thickBot="1" x14ac:dyDescent="0.3">
      <c r="A34" s="282" t="s">
        <v>822</v>
      </c>
      <c r="B34" s="283" t="s">
        <v>802</v>
      </c>
      <c r="C34" s="284">
        <v>2018</v>
      </c>
      <c r="D34" s="288" t="s">
        <v>816</v>
      </c>
      <c r="E34" s="470" t="s">
        <v>14</v>
      </c>
      <c r="F34" s="470" t="s">
        <v>14</v>
      </c>
      <c r="G34" s="1431" t="s">
        <v>61</v>
      </c>
      <c r="H34" s="293">
        <v>2000</v>
      </c>
      <c r="I34" s="1877">
        <v>0</v>
      </c>
      <c r="J34" s="48">
        <v>0</v>
      </c>
      <c r="K34" s="631">
        <v>0</v>
      </c>
      <c r="L34" s="451">
        <v>0</v>
      </c>
      <c r="M34" s="258">
        <v>0</v>
      </c>
      <c r="N34" s="255">
        <f t="shared" si="5"/>
        <v>0</v>
      </c>
      <c r="O34" s="602">
        <v>0</v>
      </c>
      <c r="P34" s="294">
        <v>0</v>
      </c>
      <c r="Q34" s="1359">
        <v>0</v>
      </c>
      <c r="R34" s="2009">
        <v>0</v>
      </c>
      <c r="S34" s="1359">
        <v>0</v>
      </c>
      <c r="T34" s="294">
        <v>0</v>
      </c>
      <c r="U34" s="1359">
        <v>2000</v>
      </c>
      <c r="V34" s="1359">
        <v>0</v>
      </c>
      <c r="W34" s="135" t="s">
        <v>784</v>
      </c>
      <c r="X34" s="1432" t="s">
        <v>22</v>
      </c>
      <c r="Y34" s="1433" t="s">
        <v>312</v>
      </c>
      <c r="Z34" s="1434" t="s">
        <v>838</v>
      </c>
      <c r="AA34" s="1433" t="s">
        <v>838</v>
      </c>
    </row>
    <row r="35" spans="1:27" s="686" customFormat="1" ht="55.5" customHeight="1" x14ac:dyDescent="0.25">
      <c r="A35" s="1435" t="s">
        <v>823</v>
      </c>
      <c r="B35" s="1436" t="s">
        <v>824</v>
      </c>
      <c r="C35" s="1437">
        <v>2019</v>
      </c>
      <c r="D35" s="654" t="s">
        <v>811</v>
      </c>
      <c r="E35" s="1438" t="s">
        <v>14</v>
      </c>
      <c r="F35" s="1438" t="s">
        <v>14</v>
      </c>
      <c r="G35" s="1439" t="s">
        <v>62</v>
      </c>
      <c r="H35" s="1430">
        <f>350-22.695</f>
        <v>327.30500000000001</v>
      </c>
      <c r="I35" s="1878">
        <v>0</v>
      </c>
      <c r="J35" s="839">
        <v>0</v>
      </c>
      <c r="K35" s="1440">
        <v>327.30500000000001</v>
      </c>
      <c r="L35" s="1441">
        <v>350</v>
      </c>
      <c r="M35" s="1370">
        <v>-22.695</v>
      </c>
      <c r="N35" s="1442">
        <f t="shared" si="5"/>
        <v>327.30500000000001</v>
      </c>
      <c r="O35" s="1443">
        <v>0</v>
      </c>
      <c r="P35" s="1208">
        <v>0</v>
      </c>
      <c r="Q35" s="1207">
        <v>0</v>
      </c>
      <c r="R35" s="1361">
        <v>0</v>
      </c>
      <c r="S35" s="1207">
        <v>0</v>
      </c>
      <c r="T35" s="1208">
        <v>0</v>
      </c>
      <c r="U35" s="1207">
        <v>0</v>
      </c>
      <c r="V35" s="1207">
        <v>0</v>
      </c>
      <c r="W35" s="1485" t="s">
        <v>1534</v>
      </c>
      <c r="X35" s="1444" t="s">
        <v>48</v>
      </c>
      <c r="Y35" s="1445" t="s">
        <v>312</v>
      </c>
      <c r="Z35" s="1446" t="s">
        <v>839</v>
      </c>
      <c r="AA35" s="1447" t="s">
        <v>839</v>
      </c>
    </row>
    <row r="36" spans="1:27" s="703" customFormat="1" ht="66.75" customHeight="1" x14ac:dyDescent="0.25">
      <c r="A36" s="1448" t="s">
        <v>825</v>
      </c>
      <c r="B36" s="1449" t="s">
        <v>975</v>
      </c>
      <c r="C36" s="1214">
        <v>2019</v>
      </c>
      <c r="D36" s="1214" t="s">
        <v>811</v>
      </c>
      <c r="E36" s="1215" t="s">
        <v>14</v>
      </c>
      <c r="F36" s="1215" t="s">
        <v>14</v>
      </c>
      <c r="G36" s="1450" t="s">
        <v>63</v>
      </c>
      <c r="H36" s="1019">
        <f>1000-540.2</f>
        <v>459.79999999999995</v>
      </c>
      <c r="I36" s="1461">
        <v>0</v>
      </c>
      <c r="J36" s="700">
        <v>459.8</v>
      </c>
      <c r="K36" s="1219">
        <v>0</v>
      </c>
      <c r="L36" s="1451">
        <v>459.79999999999995</v>
      </c>
      <c r="M36" s="1452">
        <v>0</v>
      </c>
      <c r="N36" s="1453">
        <f t="shared" si="5"/>
        <v>459.79999999999995</v>
      </c>
      <c r="O36" s="1454">
        <v>0</v>
      </c>
      <c r="P36" s="1455">
        <v>0</v>
      </c>
      <c r="Q36" s="1456">
        <v>0</v>
      </c>
      <c r="R36" s="2010">
        <v>0</v>
      </c>
      <c r="S36" s="1456">
        <v>0</v>
      </c>
      <c r="T36" s="1455">
        <v>0</v>
      </c>
      <c r="U36" s="1456">
        <v>0</v>
      </c>
      <c r="V36" s="1456">
        <v>0</v>
      </c>
      <c r="W36" s="497" t="s">
        <v>1533</v>
      </c>
      <c r="X36" s="1457" t="s">
        <v>877</v>
      </c>
      <c r="Y36" s="1458" t="s">
        <v>1420</v>
      </c>
      <c r="Z36" s="1459" t="s">
        <v>839</v>
      </c>
      <c r="AA36" s="1460" t="s">
        <v>839</v>
      </c>
    </row>
    <row r="37" spans="1:27" s="717" customFormat="1" ht="60.75" customHeight="1" x14ac:dyDescent="0.25">
      <c r="A37" s="1285" t="s">
        <v>826</v>
      </c>
      <c r="B37" s="1462" t="s">
        <v>827</v>
      </c>
      <c r="C37" s="1287">
        <v>2019</v>
      </c>
      <c r="D37" s="1287" t="s">
        <v>811</v>
      </c>
      <c r="E37" s="1413" t="s">
        <v>14</v>
      </c>
      <c r="F37" s="1463" t="s">
        <v>14</v>
      </c>
      <c r="G37" s="1464" t="s">
        <v>64</v>
      </c>
      <c r="H37" s="517">
        <v>5500</v>
      </c>
      <c r="I37" s="1420">
        <v>0</v>
      </c>
      <c r="J37" s="521">
        <v>0</v>
      </c>
      <c r="K37" s="1290">
        <v>5500</v>
      </c>
      <c r="L37" s="1040">
        <v>5000</v>
      </c>
      <c r="M37" s="873">
        <v>500</v>
      </c>
      <c r="N37" s="874">
        <f t="shared" si="5"/>
        <v>5500</v>
      </c>
      <c r="O37" s="1291">
        <v>0</v>
      </c>
      <c r="P37" s="1292">
        <v>0</v>
      </c>
      <c r="Q37" s="1416">
        <v>0</v>
      </c>
      <c r="R37" s="2011">
        <v>0</v>
      </c>
      <c r="S37" s="1416">
        <v>0</v>
      </c>
      <c r="T37" s="1292">
        <v>0</v>
      </c>
      <c r="U37" s="1416">
        <v>0</v>
      </c>
      <c r="V37" s="1416">
        <v>0</v>
      </c>
      <c r="W37" s="491" t="s">
        <v>1532</v>
      </c>
      <c r="X37" s="1417" t="s">
        <v>48</v>
      </c>
      <c r="Y37" s="1418" t="s">
        <v>312</v>
      </c>
      <c r="Z37" s="1465" t="s">
        <v>838</v>
      </c>
      <c r="AA37" s="1419" t="s">
        <v>838</v>
      </c>
    </row>
    <row r="38" spans="1:27" s="686" customFormat="1" ht="41.25" customHeight="1" x14ac:dyDescent="0.25">
      <c r="A38" s="1466" t="s">
        <v>828</v>
      </c>
      <c r="B38" s="1467" t="s">
        <v>829</v>
      </c>
      <c r="C38" s="654">
        <v>2019</v>
      </c>
      <c r="D38" s="654" t="s">
        <v>811</v>
      </c>
      <c r="E38" s="1421" t="s">
        <v>14</v>
      </c>
      <c r="F38" s="1421" t="s">
        <v>14</v>
      </c>
      <c r="G38" s="1468" t="s">
        <v>65</v>
      </c>
      <c r="H38" s="1018">
        <v>1556.06</v>
      </c>
      <c r="I38" s="1429">
        <v>0</v>
      </c>
      <c r="J38" s="691">
        <v>486.42</v>
      </c>
      <c r="K38" s="1422">
        <v>1069.6400000000001</v>
      </c>
      <c r="L38" s="1124">
        <v>1560</v>
      </c>
      <c r="M38" s="844">
        <v>-3.94</v>
      </c>
      <c r="N38" s="845">
        <f t="shared" si="5"/>
        <v>1556.06</v>
      </c>
      <c r="O38" s="1423">
        <v>0</v>
      </c>
      <c r="P38" s="1253">
        <v>0</v>
      </c>
      <c r="Q38" s="1424">
        <v>0</v>
      </c>
      <c r="R38" s="2012">
        <v>0</v>
      </c>
      <c r="S38" s="1424">
        <v>0</v>
      </c>
      <c r="T38" s="1253">
        <v>0</v>
      </c>
      <c r="U38" s="1424">
        <v>0</v>
      </c>
      <c r="V38" s="1424">
        <v>0</v>
      </c>
      <c r="W38" s="317" t="s">
        <v>1531</v>
      </c>
      <c r="X38" s="1426" t="s">
        <v>48</v>
      </c>
      <c r="Y38" s="1427" t="s">
        <v>27</v>
      </c>
      <c r="Z38" s="1469" t="s">
        <v>839</v>
      </c>
      <c r="AA38" s="1428" t="s">
        <v>839</v>
      </c>
    </row>
    <row r="39" spans="1:27" s="703" customFormat="1" ht="63" customHeight="1" thickBot="1" x14ac:dyDescent="0.3">
      <c r="A39" s="1470" t="s">
        <v>830</v>
      </c>
      <c r="B39" s="1471" t="s">
        <v>831</v>
      </c>
      <c r="C39" s="1472">
        <v>2019</v>
      </c>
      <c r="D39" s="1472" t="s">
        <v>811</v>
      </c>
      <c r="E39" s="1473" t="s">
        <v>14</v>
      </c>
      <c r="F39" s="1473" t="s">
        <v>14</v>
      </c>
      <c r="G39" s="1474" t="s">
        <v>66</v>
      </c>
      <c r="H39" s="1038">
        <f>840-29.421</f>
        <v>810.57899999999995</v>
      </c>
      <c r="I39" s="1879">
        <v>0</v>
      </c>
      <c r="J39" s="2081">
        <v>810.57899999999995</v>
      </c>
      <c r="K39" s="1475">
        <v>0</v>
      </c>
      <c r="L39" s="1476">
        <v>840</v>
      </c>
      <c r="M39" s="1039">
        <v>-29.420999999999999</v>
      </c>
      <c r="N39" s="1477">
        <f t="shared" si="5"/>
        <v>810.57899999999995</v>
      </c>
      <c r="O39" s="1478">
        <v>0</v>
      </c>
      <c r="P39" s="1479">
        <v>0</v>
      </c>
      <c r="Q39" s="1480">
        <v>0</v>
      </c>
      <c r="R39" s="2013">
        <v>0</v>
      </c>
      <c r="S39" s="1480">
        <v>0</v>
      </c>
      <c r="T39" s="1479">
        <v>0</v>
      </c>
      <c r="U39" s="1480">
        <v>0</v>
      </c>
      <c r="V39" s="1480">
        <v>0</v>
      </c>
      <c r="W39" s="704" t="s">
        <v>1536</v>
      </c>
      <c r="X39" s="1481" t="s">
        <v>877</v>
      </c>
      <c r="Y39" s="1482" t="s">
        <v>572</v>
      </c>
      <c r="Z39" s="1483" t="s">
        <v>839</v>
      </c>
      <c r="AA39" s="1484" t="s">
        <v>839</v>
      </c>
    </row>
    <row r="40" spans="1:27" ht="46.5" customHeight="1" thickBot="1" x14ac:dyDescent="0.3">
      <c r="A40" s="1693" t="s">
        <v>832</v>
      </c>
      <c r="B40" s="1694" t="s">
        <v>833</v>
      </c>
      <c r="C40" s="1695">
        <v>2019</v>
      </c>
      <c r="D40" s="1576" t="s">
        <v>936</v>
      </c>
      <c r="E40" s="1696" t="s">
        <v>14</v>
      </c>
      <c r="F40" s="1696" t="s">
        <v>14</v>
      </c>
      <c r="G40" s="1697" t="s">
        <v>834</v>
      </c>
      <c r="H40" s="1698">
        <v>1800</v>
      </c>
      <c r="I40" s="1815">
        <v>0</v>
      </c>
      <c r="J40" s="1699">
        <v>0</v>
      </c>
      <c r="K40" s="1701">
        <v>0</v>
      </c>
      <c r="L40" s="1702">
        <v>1800</v>
      </c>
      <c r="M40" s="1406">
        <v>-1800</v>
      </c>
      <c r="N40" s="1703">
        <f t="shared" si="5"/>
        <v>0</v>
      </c>
      <c r="O40" s="1704">
        <v>0</v>
      </c>
      <c r="P40" s="1705">
        <v>0</v>
      </c>
      <c r="Q40" s="1706">
        <v>0</v>
      </c>
      <c r="R40" s="1700">
        <v>0</v>
      </c>
      <c r="S40" s="1706">
        <v>0</v>
      </c>
      <c r="T40" s="1705">
        <v>0</v>
      </c>
      <c r="U40" s="1706">
        <v>1800</v>
      </c>
      <c r="V40" s="1706">
        <v>0</v>
      </c>
      <c r="W40" s="1707" t="s">
        <v>1581</v>
      </c>
      <c r="X40" s="1708" t="s">
        <v>22</v>
      </c>
      <c r="Y40" s="1709" t="s">
        <v>1417</v>
      </c>
      <c r="Z40" s="1708" t="s">
        <v>838</v>
      </c>
      <c r="AA40" s="1695" t="s">
        <v>838</v>
      </c>
    </row>
    <row r="41" spans="1:27" ht="46.5" customHeight="1" x14ac:dyDescent="0.25">
      <c r="A41" s="1022" t="s">
        <v>1421</v>
      </c>
      <c r="B41" s="1023" t="s">
        <v>802</v>
      </c>
      <c r="C41" s="1024">
        <v>2019</v>
      </c>
      <c r="D41" s="1024" t="s">
        <v>784</v>
      </c>
      <c r="E41" s="1025" t="s">
        <v>14</v>
      </c>
      <c r="F41" s="1025" t="s">
        <v>14</v>
      </c>
      <c r="G41" s="1026" t="s">
        <v>1422</v>
      </c>
      <c r="H41" s="1027">
        <v>2500</v>
      </c>
      <c r="I41" s="1880">
        <v>0</v>
      </c>
      <c r="J41" s="916">
        <v>0</v>
      </c>
      <c r="K41" s="1036">
        <v>0</v>
      </c>
      <c r="L41" s="1028">
        <v>0</v>
      </c>
      <c r="M41" s="1029">
        <v>0</v>
      </c>
      <c r="N41" s="1030">
        <v>0</v>
      </c>
      <c r="O41" s="1031">
        <v>0</v>
      </c>
      <c r="P41" s="1032">
        <v>0</v>
      </c>
      <c r="Q41" s="1033">
        <v>0</v>
      </c>
      <c r="R41" s="2014">
        <v>0</v>
      </c>
      <c r="S41" s="1033">
        <v>0</v>
      </c>
      <c r="T41" s="1032">
        <v>0</v>
      </c>
      <c r="U41" s="1033">
        <v>2500</v>
      </c>
      <c r="V41" s="1033">
        <v>0</v>
      </c>
      <c r="W41" s="1034" t="s">
        <v>1423</v>
      </c>
      <c r="X41" s="1035" t="s">
        <v>22</v>
      </c>
      <c r="Y41" s="1037" t="s">
        <v>892</v>
      </c>
      <c r="Z41" s="1035" t="s">
        <v>838</v>
      </c>
      <c r="AA41" s="1024" t="s">
        <v>838</v>
      </c>
    </row>
    <row r="42" spans="1:27" ht="46.5" customHeight="1" x14ac:dyDescent="0.25">
      <c r="A42" s="2046" t="s">
        <v>1424</v>
      </c>
      <c r="B42" s="2047" t="s">
        <v>802</v>
      </c>
      <c r="C42" s="2048">
        <v>2019</v>
      </c>
      <c r="D42" s="2048" t="s">
        <v>784</v>
      </c>
      <c r="E42" s="2049" t="s">
        <v>14</v>
      </c>
      <c r="F42" s="2049" t="s">
        <v>14</v>
      </c>
      <c r="G42" s="2050" t="s">
        <v>1425</v>
      </c>
      <c r="H42" s="2051">
        <v>2000</v>
      </c>
      <c r="I42" s="2052">
        <v>0</v>
      </c>
      <c r="J42" s="696">
        <v>0</v>
      </c>
      <c r="K42" s="2053">
        <v>0</v>
      </c>
      <c r="L42" s="2054">
        <v>0</v>
      </c>
      <c r="M42" s="2055">
        <v>0</v>
      </c>
      <c r="N42" s="2056">
        <v>0</v>
      </c>
      <c r="O42" s="2057">
        <v>0</v>
      </c>
      <c r="P42" s="2058">
        <v>0</v>
      </c>
      <c r="Q42" s="2059">
        <v>0</v>
      </c>
      <c r="R42" s="2060">
        <v>0</v>
      </c>
      <c r="S42" s="2059">
        <v>0</v>
      </c>
      <c r="T42" s="2058">
        <v>2000</v>
      </c>
      <c r="U42" s="2059">
        <v>0</v>
      </c>
      <c r="V42" s="2059">
        <v>0</v>
      </c>
      <c r="W42" s="2061" t="s">
        <v>1426</v>
      </c>
      <c r="X42" s="2062" t="s">
        <v>22</v>
      </c>
      <c r="Y42" s="2063" t="s">
        <v>1427</v>
      </c>
      <c r="Z42" s="2064" t="s">
        <v>838</v>
      </c>
      <c r="AA42" s="2063" t="s">
        <v>838</v>
      </c>
    </row>
    <row r="43" spans="1:27" ht="15.75" thickBot="1" x14ac:dyDescent="0.3">
      <c r="A43" s="180"/>
      <c r="B43" s="235"/>
      <c r="C43" s="58"/>
      <c r="D43" s="58"/>
      <c r="E43" s="798"/>
      <c r="F43" s="92"/>
      <c r="G43" s="237"/>
      <c r="H43" s="182"/>
      <c r="I43" s="1382"/>
      <c r="J43" s="182"/>
      <c r="K43" s="1821"/>
      <c r="L43" s="445"/>
      <c r="M43" s="253"/>
      <c r="N43" s="254"/>
      <c r="O43" s="183"/>
      <c r="P43" s="9"/>
      <c r="Q43" s="10"/>
      <c r="R43" s="560"/>
      <c r="S43" s="10"/>
      <c r="T43" s="9"/>
      <c r="U43" s="10"/>
      <c r="V43" s="10"/>
      <c r="W43" s="196"/>
      <c r="X43" s="181"/>
      <c r="Y43" s="238"/>
      <c r="Z43" s="264"/>
      <c r="AA43" s="489"/>
    </row>
    <row r="44" spans="1:27" ht="33.75" customHeight="1" thickBot="1" x14ac:dyDescent="0.3">
      <c r="A44" s="378" t="s">
        <v>784</v>
      </c>
      <c r="B44" s="630" t="s">
        <v>784</v>
      </c>
      <c r="C44" s="210" t="s">
        <v>784</v>
      </c>
      <c r="D44" s="116" t="s">
        <v>784</v>
      </c>
      <c r="E44" s="816" t="s">
        <v>784</v>
      </c>
      <c r="F44" s="116" t="s">
        <v>784</v>
      </c>
      <c r="G44" s="802" t="s">
        <v>920</v>
      </c>
      <c r="H44" s="99">
        <f t="shared" ref="H44:K44" si="6">SUM(H26:H43)</f>
        <v>93053.203619999986</v>
      </c>
      <c r="I44" s="504">
        <f t="shared" si="6"/>
        <v>17155.478420000003</v>
      </c>
      <c r="J44" s="99">
        <v>18138.611100000002</v>
      </c>
      <c r="K44" s="641">
        <f t="shared" si="6"/>
        <v>22526.945</v>
      </c>
      <c r="L44" s="413">
        <v>47699.053599999999</v>
      </c>
      <c r="M44" s="99">
        <f t="shared" ref="M44:V44" si="7">SUM(M26:M43)</f>
        <v>-7033.4974999999995</v>
      </c>
      <c r="N44" s="99">
        <f t="shared" si="7"/>
        <v>40665.556100000002</v>
      </c>
      <c r="O44" s="438">
        <f t="shared" si="7"/>
        <v>0</v>
      </c>
      <c r="P44" s="413">
        <f t="shared" si="7"/>
        <v>0</v>
      </c>
      <c r="Q44" s="615">
        <f t="shared" si="7"/>
        <v>0</v>
      </c>
      <c r="R44" s="441">
        <f t="shared" si="7"/>
        <v>1100</v>
      </c>
      <c r="S44" s="615">
        <f t="shared" si="7"/>
        <v>6504.2049999999999</v>
      </c>
      <c r="T44" s="413">
        <f t="shared" si="7"/>
        <v>15321.7066</v>
      </c>
      <c r="U44" s="413">
        <f t="shared" si="7"/>
        <v>19910.462500000001</v>
      </c>
      <c r="V44" s="413">
        <f t="shared" si="7"/>
        <v>0</v>
      </c>
      <c r="W44" s="134" t="s">
        <v>1655</v>
      </c>
      <c r="X44" s="100" t="s">
        <v>784</v>
      </c>
      <c r="Y44" s="100" t="s">
        <v>784</v>
      </c>
      <c r="Z44" s="407" t="s">
        <v>784</v>
      </c>
      <c r="AA44" s="100" t="s">
        <v>784</v>
      </c>
    </row>
    <row r="45" spans="1:27" s="1959" customFormat="1" ht="25.5" x14ac:dyDescent="0.25">
      <c r="A45" s="115" t="s">
        <v>67</v>
      </c>
      <c r="B45" s="120" t="s">
        <v>68</v>
      </c>
      <c r="C45" s="4">
        <v>2013</v>
      </c>
      <c r="D45" s="4" t="s">
        <v>1036</v>
      </c>
      <c r="E45" s="4" t="s">
        <v>14</v>
      </c>
      <c r="F45" s="90" t="s">
        <v>14</v>
      </c>
      <c r="G45" s="931" t="s">
        <v>69</v>
      </c>
      <c r="H45" s="1">
        <f>219905+250000</f>
        <v>469905</v>
      </c>
      <c r="I45" s="53">
        <v>51692.259690000006</v>
      </c>
      <c r="J45" s="1">
        <v>42989.913999999997</v>
      </c>
      <c r="K45" s="728">
        <f>N45-J45</f>
        <v>125222.82631</v>
      </c>
      <c r="L45" s="730">
        <v>168212.74030999999</v>
      </c>
      <c r="M45" s="259">
        <v>0</v>
      </c>
      <c r="N45" s="256">
        <f t="shared" ref="N45:N108" si="8">L45+M45</f>
        <v>168212.74030999999</v>
      </c>
      <c r="O45" s="28">
        <v>0</v>
      </c>
      <c r="P45" s="3">
        <v>0</v>
      </c>
      <c r="Q45" s="2">
        <v>0</v>
      </c>
      <c r="R45" s="434">
        <v>0</v>
      </c>
      <c r="S45" s="18">
        <v>0</v>
      </c>
      <c r="T45" s="15">
        <v>200000</v>
      </c>
      <c r="U45" s="41">
        <v>50000</v>
      </c>
      <c r="V45" s="41">
        <v>0</v>
      </c>
      <c r="W45" s="5" t="s">
        <v>784</v>
      </c>
      <c r="X45" s="124" t="s">
        <v>48</v>
      </c>
      <c r="Y45" s="110" t="s">
        <v>799</v>
      </c>
      <c r="Z45" s="270" t="s">
        <v>835</v>
      </c>
      <c r="AA45" s="110" t="s">
        <v>839</v>
      </c>
    </row>
    <row r="46" spans="1:27" s="717" customFormat="1" ht="45" x14ac:dyDescent="0.25">
      <c r="A46" s="1853" t="s">
        <v>71</v>
      </c>
      <c r="B46" s="1950" t="s">
        <v>72</v>
      </c>
      <c r="C46" s="1355">
        <v>2006</v>
      </c>
      <c r="D46" s="1355" t="s">
        <v>1035</v>
      </c>
      <c r="E46" s="1355" t="s">
        <v>14</v>
      </c>
      <c r="F46" s="1951" t="s">
        <v>14</v>
      </c>
      <c r="G46" s="1952" t="s">
        <v>73</v>
      </c>
      <c r="H46" s="1653">
        <f>393116.17+102000+10000</f>
        <v>505116.17</v>
      </c>
      <c r="I46" s="1872">
        <v>285509.49667999998</v>
      </c>
      <c r="J46" s="1653">
        <v>33204.986420000001</v>
      </c>
      <c r="K46" s="1352">
        <f>N46-J46</f>
        <v>61401.686900000001</v>
      </c>
      <c r="L46" s="1353">
        <v>79606.673320000002</v>
      </c>
      <c r="M46" s="1374">
        <v>15000</v>
      </c>
      <c r="N46" s="1611">
        <f t="shared" si="8"/>
        <v>94606.673320000002</v>
      </c>
      <c r="O46" s="1953">
        <v>0</v>
      </c>
      <c r="P46" s="1954">
        <v>0</v>
      </c>
      <c r="Q46" s="1955">
        <v>0</v>
      </c>
      <c r="R46" s="1956">
        <v>0</v>
      </c>
      <c r="S46" s="1613">
        <v>0</v>
      </c>
      <c r="T46" s="1954">
        <v>80000</v>
      </c>
      <c r="U46" s="1957">
        <v>45000</v>
      </c>
      <c r="V46" s="1957">
        <v>0</v>
      </c>
      <c r="W46" s="1355" t="s">
        <v>1612</v>
      </c>
      <c r="X46" s="1351" t="s">
        <v>48</v>
      </c>
      <c r="Y46" s="1356" t="s">
        <v>799</v>
      </c>
      <c r="Z46" s="1357" t="s">
        <v>835</v>
      </c>
      <c r="AA46" s="1958" t="s">
        <v>839</v>
      </c>
    </row>
    <row r="47" spans="1:27" ht="38.25" x14ac:dyDescent="0.25">
      <c r="A47" s="77" t="s">
        <v>74</v>
      </c>
      <c r="B47" s="96" t="s">
        <v>75</v>
      </c>
      <c r="C47" s="5">
        <v>2017</v>
      </c>
      <c r="D47" s="5" t="s">
        <v>836</v>
      </c>
      <c r="E47" s="5" t="s">
        <v>70</v>
      </c>
      <c r="F47" s="932" t="s">
        <v>14</v>
      </c>
      <c r="G47" s="933" t="s">
        <v>783</v>
      </c>
      <c r="H47" s="17">
        <v>12000</v>
      </c>
      <c r="I47" s="13">
        <v>5903.2</v>
      </c>
      <c r="J47" s="17">
        <v>0</v>
      </c>
      <c r="K47" s="186">
        <v>0</v>
      </c>
      <c r="L47" s="718">
        <v>0</v>
      </c>
      <c r="M47" s="249">
        <v>0</v>
      </c>
      <c r="N47" s="250">
        <f t="shared" si="8"/>
        <v>0</v>
      </c>
      <c r="O47" s="29">
        <v>0</v>
      </c>
      <c r="P47" s="27">
        <v>0</v>
      </c>
      <c r="Q47" s="26">
        <v>0</v>
      </c>
      <c r="R47" s="434">
        <v>0</v>
      </c>
      <c r="S47" s="26">
        <v>6096.8</v>
      </c>
      <c r="T47" s="27">
        <v>6096.8</v>
      </c>
      <c r="U47" s="32">
        <v>0</v>
      </c>
      <c r="V47" s="32">
        <v>0</v>
      </c>
      <c r="W47" s="5" t="s">
        <v>784</v>
      </c>
      <c r="X47" s="55" t="s">
        <v>22</v>
      </c>
      <c r="Y47" s="107" t="s">
        <v>998</v>
      </c>
      <c r="Z47" s="267" t="s">
        <v>838</v>
      </c>
      <c r="AA47" s="107" t="s">
        <v>838</v>
      </c>
    </row>
    <row r="48" spans="1:27" s="703" customFormat="1" ht="30" x14ac:dyDescent="0.25">
      <c r="A48" s="1067" t="s">
        <v>76</v>
      </c>
      <c r="B48" s="1501" t="s">
        <v>77</v>
      </c>
      <c r="C48" s="699">
        <v>2017</v>
      </c>
      <c r="D48" s="699" t="s">
        <v>1020</v>
      </c>
      <c r="E48" s="699" t="s">
        <v>78</v>
      </c>
      <c r="F48" s="1069" t="s">
        <v>78</v>
      </c>
      <c r="G48" s="1502" t="s">
        <v>79</v>
      </c>
      <c r="H48" s="700">
        <f>36865-0.16175</f>
        <v>36864.838250000001</v>
      </c>
      <c r="I48" s="702">
        <v>36800.442049999998</v>
      </c>
      <c r="J48" s="700">
        <v>64.396199999999993</v>
      </c>
      <c r="K48" s="1503">
        <v>0</v>
      </c>
      <c r="L48" s="1504">
        <v>199.55795000000217</v>
      </c>
      <c r="M48" s="1021">
        <v>-135.16175000000001</v>
      </c>
      <c r="N48" s="1073">
        <f t="shared" si="8"/>
        <v>64.396200000002153</v>
      </c>
      <c r="O48" s="1505">
        <v>0</v>
      </c>
      <c r="P48" s="1074">
        <v>0</v>
      </c>
      <c r="Q48" s="1075">
        <v>0</v>
      </c>
      <c r="R48" s="1070">
        <v>0</v>
      </c>
      <c r="S48" s="1506">
        <v>0</v>
      </c>
      <c r="T48" s="1074">
        <v>0</v>
      </c>
      <c r="U48" s="1507">
        <v>0</v>
      </c>
      <c r="V48" s="1507">
        <v>0</v>
      </c>
      <c r="W48" s="1508" t="s">
        <v>1514</v>
      </c>
      <c r="X48" s="701" t="s">
        <v>877</v>
      </c>
      <c r="Y48" s="1509" t="s">
        <v>572</v>
      </c>
      <c r="Z48" s="1085" t="s">
        <v>839</v>
      </c>
      <c r="AA48" s="1460" t="s">
        <v>839</v>
      </c>
    </row>
    <row r="49" spans="1:27" s="777" customFormat="1" ht="25.5" x14ac:dyDescent="0.25">
      <c r="A49" s="1042" t="s">
        <v>80</v>
      </c>
      <c r="B49" s="1313" t="s">
        <v>81</v>
      </c>
      <c r="C49" s="657">
        <v>2017</v>
      </c>
      <c r="D49" s="657" t="s">
        <v>1034</v>
      </c>
      <c r="E49" s="657" t="s">
        <v>82</v>
      </c>
      <c r="F49" s="1314" t="s">
        <v>82</v>
      </c>
      <c r="G49" s="1315" t="s">
        <v>83</v>
      </c>
      <c r="H49" s="813">
        <v>3212.72</v>
      </c>
      <c r="I49" s="721">
        <v>1112.2756000000002</v>
      </c>
      <c r="J49" s="813">
        <v>0</v>
      </c>
      <c r="K49" s="1309">
        <v>1700.4444000000001</v>
      </c>
      <c r="L49" s="1310">
        <v>2100.4443999999994</v>
      </c>
      <c r="M49" s="1052">
        <v>-400</v>
      </c>
      <c r="N49" s="1053">
        <f t="shared" si="8"/>
        <v>1700.4443999999994</v>
      </c>
      <c r="O49" s="1316">
        <v>0</v>
      </c>
      <c r="P49" s="1056">
        <v>0</v>
      </c>
      <c r="Q49" s="1058">
        <v>0</v>
      </c>
      <c r="R49" s="1049">
        <v>0</v>
      </c>
      <c r="S49" s="1244">
        <v>400</v>
      </c>
      <c r="T49" s="1056">
        <v>400</v>
      </c>
      <c r="U49" s="1063">
        <v>0</v>
      </c>
      <c r="V49" s="1063">
        <v>0</v>
      </c>
      <c r="W49" s="688" t="s">
        <v>1503</v>
      </c>
      <c r="X49" s="689" t="s">
        <v>48</v>
      </c>
      <c r="Y49" s="1062" t="s">
        <v>312</v>
      </c>
      <c r="Z49" s="1061" t="s">
        <v>839</v>
      </c>
      <c r="AA49" s="1317" t="s">
        <v>839</v>
      </c>
    </row>
    <row r="50" spans="1:27" ht="25.5" x14ac:dyDescent="0.25">
      <c r="A50" s="68" t="s">
        <v>84</v>
      </c>
      <c r="B50" s="88" t="s">
        <v>85</v>
      </c>
      <c r="C50" s="5">
        <v>2017</v>
      </c>
      <c r="D50" s="5" t="s">
        <v>1034</v>
      </c>
      <c r="E50" s="5" t="s">
        <v>82</v>
      </c>
      <c r="F50" s="70" t="s">
        <v>82</v>
      </c>
      <c r="G50" s="943" t="s">
        <v>86</v>
      </c>
      <c r="H50" s="17">
        <v>2200</v>
      </c>
      <c r="I50" s="13">
        <v>962.71900000000005</v>
      </c>
      <c r="J50" s="17">
        <v>0</v>
      </c>
      <c r="K50" s="299">
        <f>700+0.281</f>
        <v>700.28099999999995</v>
      </c>
      <c r="L50" s="718">
        <v>700.28099999999995</v>
      </c>
      <c r="M50" s="249">
        <v>0</v>
      </c>
      <c r="N50" s="250">
        <f t="shared" si="8"/>
        <v>700.28099999999995</v>
      </c>
      <c r="O50" s="30">
        <v>0</v>
      </c>
      <c r="P50" s="19">
        <v>0</v>
      </c>
      <c r="Q50" s="18">
        <v>0</v>
      </c>
      <c r="R50" s="434">
        <v>0</v>
      </c>
      <c r="S50" s="18">
        <v>0</v>
      </c>
      <c r="T50" s="19">
        <v>537</v>
      </c>
      <c r="U50" s="36">
        <v>0</v>
      </c>
      <c r="V50" s="36">
        <v>0</v>
      </c>
      <c r="W50" s="5" t="s">
        <v>784</v>
      </c>
      <c r="X50" s="55" t="s">
        <v>16</v>
      </c>
      <c r="Y50" s="107" t="s">
        <v>27</v>
      </c>
      <c r="Z50" s="267" t="s">
        <v>838</v>
      </c>
      <c r="AA50" s="107" t="s">
        <v>839</v>
      </c>
    </row>
    <row r="51" spans="1:27" s="686" customFormat="1" ht="25.5" x14ac:dyDescent="0.25">
      <c r="A51" s="835" t="s">
        <v>87</v>
      </c>
      <c r="B51" s="836" t="s">
        <v>88</v>
      </c>
      <c r="C51" s="638">
        <v>2017</v>
      </c>
      <c r="D51" s="1318" t="s">
        <v>1019</v>
      </c>
      <c r="E51" s="638" t="s">
        <v>78</v>
      </c>
      <c r="F51" s="1968" t="s">
        <v>78</v>
      </c>
      <c r="G51" s="1969" t="s">
        <v>89</v>
      </c>
      <c r="H51" s="691">
        <v>50500</v>
      </c>
      <c r="I51" s="690">
        <v>49743.145620000003</v>
      </c>
      <c r="J51" s="691">
        <v>471.90856000000002</v>
      </c>
      <c r="K51" s="841">
        <f>285-0.05418</f>
        <v>284.94582000000003</v>
      </c>
      <c r="L51" s="843">
        <v>2611.9843799999944</v>
      </c>
      <c r="M51" s="844">
        <f>-1855-0.13</f>
        <v>-1855.13</v>
      </c>
      <c r="N51" s="845">
        <f t="shared" si="8"/>
        <v>756.85437999999431</v>
      </c>
      <c r="O51" s="846">
        <v>0</v>
      </c>
      <c r="P51" s="848">
        <v>0</v>
      </c>
      <c r="Q51" s="847">
        <v>0</v>
      </c>
      <c r="R51" s="840">
        <v>0</v>
      </c>
      <c r="S51" s="847">
        <v>0</v>
      </c>
      <c r="T51" s="848">
        <v>0</v>
      </c>
      <c r="U51" s="1319">
        <v>0</v>
      </c>
      <c r="V51" s="1319">
        <v>0</v>
      </c>
      <c r="W51" s="638" t="s">
        <v>1513</v>
      </c>
      <c r="X51" s="317" t="s">
        <v>48</v>
      </c>
      <c r="Y51" s="850" t="s">
        <v>27</v>
      </c>
      <c r="Z51" s="849" t="s">
        <v>839</v>
      </c>
      <c r="AA51" s="850" t="s">
        <v>839</v>
      </c>
    </row>
    <row r="52" spans="1:27" ht="30" x14ac:dyDescent="0.25">
      <c r="A52" s="68" t="s">
        <v>90</v>
      </c>
      <c r="B52" s="88" t="s">
        <v>91</v>
      </c>
      <c r="C52" s="5">
        <v>2017</v>
      </c>
      <c r="D52" s="69" t="s">
        <v>1019</v>
      </c>
      <c r="E52" s="5" t="s">
        <v>78</v>
      </c>
      <c r="F52" s="70" t="s">
        <v>78</v>
      </c>
      <c r="G52" s="943" t="s">
        <v>92</v>
      </c>
      <c r="H52" s="17">
        <v>19635</v>
      </c>
      <c r="I52" s="13">
        <v>17226.34463</v>
      </c>
      <c r="J52" s="17">
        <v>1260.4074599999999</v>
      </c>
      <c r="K52" s="186">
        <f>112.12955+1036.11836</f>
        <v>1148.24791</v>
      </c>
      <c r="L52" s="718">
        <v>2408.655369999999</v>
      </c>
      <c r="M52" s="249">
        <v>0</v>
      </c>
      <c r="N52" s="250">
        <f t="shared" si="8"/>
        <v>2408.655369999999</v>
      </c>
      <c r="O52" s="30">
        <v>0</v>
      </c>
      <c r="P52" s="27">
        <v>0</v>
      </c>
      <c r="Q52" s="18">
        <v>0</v>
      </c>
      <c r="R52" s="434">
        <v>0</v>
      </c>
      <c r="S52" s="18">
        <v>0</v>
      </c>
      <c r="T52" s="19">
        <v>0</v>
      </c>
      <c r="U52" s="36">
        <v>0</v>
      </c>
      <c r="V52" s="36">
        <v>0</v>
      </c>
      <c r="W52" s="5" t="s">
        <v>784</v>
      </c>
      <c r="X52" s="55" t="s">
        <v>48</v>
      </c>
      <c r="Y52" s="107" t="s">
        <v>571</v>
      </c>
      <c r="Z52" s="267" t="s">
        <v>839</v>
      </c>
      <c r="AA52" s="107" t="s">
        <v>839</v>
      </c>
    </row>
    <row r="53" spans="1:27" ht="30" x14ac:dyDescent="0.25">
      <c r="A53" s="77" t="s">
        <v>93</v>
      </c>
      <c r="B53" s="96" t="s">
        <v>787</v>
      </c>
      <c r="C53" s="5">
        <v>2017</v>
      </c>
      <c r="D53" s="4" t="s">
        <v>840</v>
      </c>
      <c r="E53" s="5" t="s">
        <v>78</v>
      </c>
      <c r="F53" s="70" t="s">
        <v>78</v>
      </c>
      <c r="G53" s="933" t="s">
        <v>94</v>
      </c>
      <c r="H53" s="1">
        <v>8712.3866199999993</v>
      </c>
      <c r="I53" s="221">
        <v>6070.853149999999</v>
      </c>
      <c r="J53" s="17">
        <v>0</v>
      </c>
      <c r="K53" s="179">
        <v>2641.5334700000008</v>
      </c>
      <c r="L53" s="718">
        <v>2641.5334700000008</v>
      </c>
      <c r="M53" s="249">
        <v>0</v>
      </c>
      <c r="N53" s="250">
        <f t="shared" si="8"/>
        <v>2641.5334700000008</v>
      </c>
      <c r="O53" s="29">
        <v>0</v>
      </c>
      <c r="P53" s="27">
        <v>0</v>
      </c>
      <c r="Q53" s="26">
        <v>0</v>
      </c>
      <c r="R53" s="434">
        <v>0</v>
      </c>
      <c r="S53" s="18">
        <v>0</v>
      </c>
      <c r="T53" s="27">
        <v>0</v>
      </c>
      <c r="U53" s="32">
        <v>0</v>
      </c>
      <c r="V53" s="32">
        <v>0</v>
      </c>
      <c r="W53" s="5" t="s">
        <v>997</v>
      </c>
      <c r="X53" s="55" t="s">
        <v>48</v>
      </c>
      <c r="Y53" s="107" t="s">
        <v>571</v>
      </c>
      <c r="Z53" s="267" t="s">
        <v>839</v>
      </c>
      <c r="AA53" s="107" t="s">
        <v>839</v>
      </c>
    </row>
    <row r="54" spans="1:27" s="717" customFormat="1" ht="25.5" x14ac:dyDescent="0.25">
      <c r="A54" s="77" t="s">
        <v>95</v>
      </c>
      <c r="B54" s="96" t="s">
        <v>769</v>
      </c>
      <c r="C54" s="4">
        <v>2018</v>
      </c>
      <c r="D54" s="4" t="s">
        <v>841</v>
      </c>
      <c r="E54" s="5" t="s">
        <v>78</v>
      </c>
      <c r="F54" s="78" t="s">
        <v>78</v>
      </c>
      <c r="G54" s="933" t="s">
        <v>96</v>
      </c>
      <c r="H54" s="1">
        <v>4754.3732</v>
      </c>
      <c r="I54" s="221">
        <v>2637.5372499999999</v>
      </c>
      <c r="J54" s="17">
        <v>1039.8944100000001</v>
      </c>
      <c r="K54" s="186">
        <v>1076.94154</v>
      </c>
      <c r="L54" s="718">
        <v>2116.8359499999997</v>
      </c>
      <c r="M54" s="249">
        <v>0</v>
      </c>
      <c r="N54" s="250">
        <f t="shared" si="8"/>
        <v>2116.8359499999997</v>
      </c>
      <c r="O54" s="30">
        <v>0</v>
      </c>
      <c r="P54" s="27">
        <v>0</v>
      </c>
      <c r="Q54" s="18">
        <v>0</v>
      </c>
      <c r="R54" s="434">
        <v>0</v>
      </c>
      <c r="S54" s="18">
        <v>0</v>
      </c>
      <c r="T54" s="19">
        <v>0</v>
      </c>
      <c r="U54" s="36">
        <v>0</v>
      </c>
      <c r="V54" s="36">
        <v>0</v>
      </c>
      <c r="W54" s="5" t="s">
        <v>784</v>
      </c>
      <c r="X54" s="55" t="s">
        <v>48</v>
      </c>
      <c r="Y54" s="107" t="s">
        <v>571</v>
      </c>
      <c r="Z54" s="267" t="s">
        <v>839</v>
      </c>
      <c r="AA54" s="107" t="s">
        <v>839</v>
      </c>
    </row>
    <row r="55" spans="1:27" ht="25.5" x14ac:dyDescent="0.25">
      <c r="A55" s="77" t="s">
        <v>97</v>
      </c>
      <c r="B55" s="96" t="s">
        <v>98</v>
      </c>
      <c r="C55" s="85">
        <v>2017</v>
      </c>
      <c r="D55" s="85" t="s">
        <v>1033</v>
      </c>
      <c r="E55" s="5" t="s">
        <v>78</v>
      </c>
      <c r="F55" s="932" t="s">
        <v>14</v>
      </c>
      <c r="G55" s="944" t="s">
        <v>99</v>
      </c>
      <c r="H55" s="25">
        <v>998.25</v>
      </c>
      <c r="I55" s="583">
        <v>828.85</v>
      </c>
      <c r="J55" s="17">
        <v>169.4</v>
      </c>
      <c r="K55" s="186">
        <v>0</v>
      </c>
      <c r="L55" s="720">
        <v>169.39999999999998</v>
      </c>
      <c r="M55" s="249">
        <v>0</v>
      </c>
      <c r="N55" s="250">
        <f t="shared" si="8"/>
        <v>169.39999999999998</v>
      </c>
      <c r="O55" s="29">
        <v>0</v>
      </c>
      <c r="P55" s="27">
        <v>0</v>
      </c>
      <c r="Q55" s="26">
        <v>0</v>
      </c>
      <c r="R55" s="434">
        <v>0</v>
      </c>
      <c r="S55" s="18">
        <v>0</v>
      </c>
      <c r="T55" s="27">
        <v>0</v>
      </c>
      <c r="U55" s="32">
        <v>0</v>
      </c>
      <c r="V55" s="32">
        <v>0</v>
      </c>
      <c r="W55" s="5" t="s">
        <v>784</v>
      </c>
      <c r="X55" s="55" t="s">
        <v>48</v>
      </c>
      <c r="Y55" s="107" t="s">
        <v>27</v>
      </c>
      <c r="Z55" s="267" t="s">
        <v>839</v>
      </c>
      <c r="AA55" s="107" t="s">
        <v>839</v>
      </c>
    </row>
    <row r="56" spans="1:27" s="705" customFormat="1" ht="25.5" x14ac:dyDescent="0.25">
      <c r="A56" s="1042" t="s">
        <v>100</v>
      </c>
      <c r="B56" s="1313" t="s">
        <v>101</v>
      </c>
      <c r="C56" s="657">
        <v>2017</v>
      </c>
      <c r="D56" s="657" t="s">
        <v>1020</v>
      </c>
      <c r="E56" s="1045" t="s">
        <v>14</v>
      </c>
      <c r="F56" s="1046" t="s">
        <v>14</v>
      </c>
      <c r="G56" s="1047" t="s">
        <v>102</v>
      </c>
      <c r="H56" s="813">
        <f>3062.72+1000</f>
        <v>4062.72</v>
      </c>
      <c r="I56" s="721">
        <v>0</v>
      </c>
      <c r="J56" s="813">
        <v>0</v>
      </c>
      <c r="K56" s="1309">
        <f>263-0.28</f>
        <v>262.72000000000003</v>
      </c>
      <c r="L56" s="1310">
        <v>2062.7199999999998</v>
      </c>
      <c r="M56" s="1052">
        <v>-1800</v>
      </c>
      <c r="N56" s="1244">
        <f t="shared" si="8"/>
        <v>262.7199999999998</v>
      </c>
      <c r="O56" s="1316">
        <v>0</v>
      </c>
      <c r="P56" s="1056">
        <v>0</v>
      </c>
      <c r="Q56" s="1058">
        <v>0</v>
      </c>
      <c r="R56" s="1049">
        <v>0</v>
      </c>
      <c r="S56" s="1244">
        <v>0</v>
      </c>
      <c r="T56" s="1056">
        <v>3800</v>
      </c>
      <c r="U56" s="1063">
        <v>0</v>
      </c>
      <c r="V56" s="1063">
        <v>0</v>
      </c>
      <c r="W56" s="657" t="s">
        <v>1504</v>
      </c>
      <c r="X56" s="689" t="s">
        <v>48</v>
      </c>
      <c r="Y56" s="1062" t="s">
        <v>799</v>
      </c>
      <c r="Z56" s="1061" t="s">
        <v>835</v>
      </c>
      <c r="AA56" s="1062" t="s">
        <v>839</v>
      </c>
    </row>
    <row r="57" spans="1:27" ht="30" x14ac:dyDescent="0.25">
      <c r="A57" s="77" t="s">
        <v>103</v>
      </c>
      <c r="B57" s="96" t="s">
        <v>770</v>
      </c>
      <c r="C57" s="85">
        <v>2018</v>
      </c>
      <c r="D57" s="85" t="s">
        <v>104</v>
      </c>
      <c r="E57" s="84" t="s">
        <v>78</v>
      </c>
      <c r="F57" s="932" t="s">
        <v>78</v>
      </c>
      <c r="G57" s="944" t="s">
        <v>105</v>
      </c>
      <c r="H57" s="25">
        <v>5247.9575500000001</v>
      </c>
      <c r="I57" s="583">
        <v>4934.2094800000004</v>
      </c>
      <c r="J57" s="17">
        <v>0</v>
      </c>
      <c r="K57" s="179">
        <v>313.74806999999998</v>
      </c>
      <c r="L57" s="718">
        <v>313.74806999999998</v>
      </c>
      <c r="M57" s="249">
        <v>0</v>
      </c>
      <c r="N57" s="250">
        <f t="shared" si="8"/>
        <v>313.74806999999998</v>
      </c>
      <c r="O57" s="29">
        <v>0</v>
      </c>
      <c r="P57" s="27">
        <v>0</v>
      </c>
      <c r="Q57" s="26">
        <v>0</v>
      </c>
      <c r="R57" s="434">
        <v>0</v>
      </c>
      <c r="S57" s="18">
        <v>0</v>
      </c>
      <c r="T57" s="27">
        <v>0</v>
      </c>
      <c r="U57" s="32">
        <v>0</v>
      </c>
      <c r="V57" s="32">
        <v>0</v>
      </c>
      <c r="W57" s="4" t="s">
        <v>996</v>
      </c>
      <c r="X57" s="55" t="s">
        <v>48</v>
      </c>
      <c r="Y57" s="107" t="s">
        <v>571</v>
      </c>
      <c r="Z57" s="267" t="s">
        <v>839</v>
      </c>
      <c r="AA57" s="107" t="s">
        <v>839</v>
      </c>
    </row>
    <row r="58" spans="1:27" ht="25.5" x14ac:dyDescent="0.25">
      <c r="A58" s="77" t="s">
        <v>106</v>
      </c>
      <c r="B58" s="96" t="s">
        <v>937</v>
      </c>
      <c r="C58" s="85">
        <v>2018</v>
      </c>
      <c r="D58" s="85" t="s">
        <v>104</v>
      </c>
      <c r="E58" s="84" t="s">
        <v>78</v>
      </c>
      <c r="F58" s="932" t="s">
        <v>78</v>
      </c>
      <c r="G58" s="944" t="s">
        <v>107</v>
      </c>
      <c r="H58" s="25">
        <v>4700</v>
      </c>
      <c r="I58" s="583">
        <v>1168.8611599999999</v>
      </c>
      <c r="J58" s="17">
        <v>2446.2186900000002</v>
      </c>
      <c r="K58" s="299">
        <v>1084.9201499999999</v>
      </c>
      <c r="L58" s="718">
        <v>3531.1388400000001</v>
      </c>
      <c r="M58" s="249">
        <v>0</v>
      </c>
      <c r="N58" s="250">
        <f t="shared" si="8"/>
        <v>3531.1388400000001</v>
      </c>
      <c r="O58" s="29">
        <v>0</v>
      </c>
      <c r="P58" s="27">
        <v>0</v>
      </c>
      <c r="Q58" s="26">
        <v>0</v>
      </c>
      <c r="R58" s="434">
        <v>0</v>
      </c>
      <c r="S58" s="18">
        <v>0</v>
      </c>
      <c r="T58" s="27">
        <v>0</v>
      </c>
      <c r="U58" s="32">
        <v>0</v>
      </c>
      <c r="V58" s="32">
        <v>0</v>
      </c>
      <c r="W58" s="4" t="s">
        <v>784</v>
      </c>
      <c r="X58" s="55" t="s">
        <v>48</v>
      </c>
      <c r="Y58" s="107" t="s">
        <v>571</v>
      </c>
      <c r="Z58" s="267" t="s">
        <v>839</v>
      </c>
      <c r="AA58" s="107" t="s">
        <v>839</v>
      </c>
    </row>
    <row r="59" spans="1:27" ht="30" x14ac:dyDescent="0.25">
      <c r="A59" s="77" t="s">
        <v>108</v>
      </c>
      <c r="B59" s="96" t="s">
        <v>788</v>
      </c>
      <c r="C59" s="85">
        <v>2018</v>
      </c>
      <c r="D59" s="85" t="s">
        <v>104</v>
      </c>
      <c r="E59" s="84" t="s">
        <v>78</v>
      </c>
      <c r="F59" s="932" t="s">
        <v>78</v>
      </c>
      <c r="G59" s="944" t="s">
        <v>109</v>
      </c>
      <c r="H59" s="25">
        <v>17166.7435</v>
      </c>
      <c r="I59" s="583">
        <v>8372.8423299999995</v>
      </c>
      <c r="J59" s="17">
        <v>0</v>
      </c>
      <c r="K59" s="186">
        <v>8793.9011699999992</v>
      </c>
      <c r="L59" s="718">
        <v>8793.9011699999992</v>
      </c>
      <c r="M59" s="249">
        <v>0</v>
      </c>
      <c r="N59" s="250">
        <f t="shared" si="8"/>
        <v>8793.9011699999992</v>
      </c>
      <c r="O59" s="29">
        <v>0</v>
      </c>
      <c r="P59" s="27">
        <v>0</v>
      </c>
      <c r="Q59" s="26">
        <v>0</v>
      </c>
      <c r="R59" s="434">
        <v>0</v>
      </c>
      <c r="S59" s="18">
        <v>0</v>
      </c>
      <c r="T59" s="27">
        <v>0</v>
      </c>
      <c r="U59" s="32">
        <v>0</v>
      </c>
      <c r="V59" s="32">
        <v>0</v>
      </c>
      <c r="W59" s="5" t="s">
        <v>784</v>
      </c>
      <c r="X59" s="55" t="s">
        <v>48</v>
      </c>
      <c r="Y59" s="107" t="s">
        <v>571</v>
      </c>
      <c r="Z59" s="267" t="s">
        <v>839</v>
      </c>
      <c r="AA59" s="107" t="s">
        <v>839</v>
      </c>
    </row>
    <row r="60" spans="1:27" ht="25.5" x14ac:dyDescent="0.25">
      <c r="A60" s="77" t="s">
        <v>110</v>
      </c>
      <c r="B60" s="96" t="s">
        <v>789</v>
      </c>
      <c r="C60" s="85">
        <v>2018</v>
      </c>
      <c r="D60" s="85" t="s">
        <v>104</v>
      </c>
      <c r="E60" s="84" t="s">
        <v>78</v>
      </c>
      <c r="F60" s="932" t="s">
        <v>78</v>
      </c>
      <c r="G60" s="944" t="s">
        <v>111</v>
      </c>
      <c r="H60" s="25">
        <v>15160</v>
      </c>
      <c r="I60" s="583">
        <v>10275.105170000001</v>
      </c>
      <c r="J60" s="17">
        <v>4877.1397500000003</v>
      </c>
      <c r="K60" s="1948">
        <v>7.7550799999999098</v>
      </c>
      <c r="L60" s="718">
        <v>4884.8948299999993</v>
      </c>
      <c r="M60" s="249">
        <v>0</v>
      </c>
      <c r="N60" s="250">
        <f t="shared" si="8"/>
        <v>4884.8948299999993</v>
      </c>
      <c r="O60" s="29">
        <v>0</v>
      </c>
      <c r="P60" s="27">
        <v>0</v>
      </c>
      <c r="Q60" s="26">
        <v>0</v>
      </c>
      <c r="R60" s="434">
        <v>0</v>
      </c>
      <c r="S60" s="18">
        <v>0</v>
      </c>
      <c r="T60" s="27">
        <v>0</v>
      </c>
      <c r="U60" s="32">
        <v>0</v>
      </c>
      <c r="V60" s="32">
        <v>0</v>
      </c>
      <c r="W60" s="5" t="s">
        <v>784</v>
      </c>
      <c r="X60" s="55" t="s">
        <v>48</v>
      </c>
      <c r="Y60" s="107" t="s">
        <v>27</v>
      </c>
      <c r="Z60" s="267" t="s">
        <v>839</v>
      </c>
      <c r="AA60" s="107" t="s">
        <v>839</v>
      </c>
    </row>
    <row r="61" spans="1:27" s="710" customFormat="1" ht="25.5" x14ac:dyDescent="0.25">
      <c r="A61" s="79" t="s">
        <v>112</v>
      </c>
      <c r="B61" s="121" t="s">
        <v>842</v>
      </c>
      <c r="C61" s="75">
        <v>2018</v>
      </c>
      <c r="D61" s="75" t="s">
        <v>104</v>
      </c>
      <c r="E61" s="76" t="s">
        <v>78</v>
      </c>
      <c r="F61" s="83" t="s">
        <v>78</v>
      </c>
      <c r="G61" s="166" t="s">
        <v>113</v>
      </c>
      <c r="H61" s="38">
        <v>7646.9967200000001</v>
      </c>
      <c r="I61" s="584">
        <v>0</v>
      </c>
      <c r="J61" s="22">
        <v>7646.9967200000001</v>
      </c>
      <c r="K61" s="719">
        <v>0</v>
      </c>
      <c r="L61" s="635">
        <v>7646.9967200000001</v>
      </c>
      <c r="M61" s="539">
        <v>0</v>
      </c>
      <c r="N61" s="312">
        <f t="shared" si="8"/>
        <v>7646.9967200000001</v>
      </c>
      <c r="O61" s="82">
        <v>0</v>
      </c>
      <c r="P61" s="21">
        <v>0</v>
      </c>
      <c r="Q61" s="20">
        <v>0</v>
      </c>
      <c r="R61" s="456">
        <v>0</v>
      </c>
      <c r="S61" s="23">
        <v>0</v>
      </c>
      <c r="T61" s="21">
        <v>0</v>
      </c>
      <c r="U61" s="39">
        <v>0</v>
      </c>
      <c r="V61" s="39">
        <v>0</v>
      </c>
      <c r="W61" s="80" t="s">
        <v>784</v>
      </c>
      <c r="X61" s="118" t="s">
        <v>877</v>
      </c>
      <c r="Y61" s="71" t="s">
        <v>341</v>
      </c>
      <c r="Z61" s="315" t="s">
        <v>839</v>
      </c>
      <c r="AA61" s="71" t="s">
        <v>839</v>
      </c>
    </row>
    <row r="62" spans="1:27" s="717" customFormat="1" ht="30" x14ac:dyDescent="0.25">
      <c r="A62" s="946" t="s">
        <v>114</v>
      </c>
      <c r="B62" s="866" t="s">
        <v>790</v>
      </c>
      <c r="C62" s="947">
        <v>2018</v>
      </c>
      <c r="D62" s="947" t="s">
        <v>104</v>
      </c>
      <c r="E62" s="948" t="s">
        <v>78</v>
      </c>
      <c r="F62" s="949" t="s">
        <v>78</v>
      </c>
      <c r="G62" s="950" t="s">
        <v>115</v>
      </c>
      <c r="H62" s="519">
        <f>26372+530.694</f>
        <v>26902.694</v>
      </c>
      <c r="I62" s="716">
        <v>530.69399999999996</v>
      </c>
      <c r="J62" s="521">
        <v>101.64</v>
      </c>
      <c r="K62" s="871">
        <f>25739.666+530.694</f>
        <v>26270.36</v>
      </c>
      <c r="L62" s="872">
        <v>20179.120599999998</v>
      </c>
      <c r="M62" s="873">
        <v>6192.8793999999998</v>
      </c>
      <c r="N62" s="874">
        <f t="shared" si="8"/>
        <v>26372</v>
      </c>
      <c r="O62" s="951">
        <v>0</v>
      </c>
      <c r="P62" s="952">
        <v>0</v>
      </c>
      <c r="Q62" s="953">
        <v>0</v>
      </c>
      <c r="R62" s="781">
        <v>0</v>
      </c>
      <c r="S62" s="783">
        <v>0</v>
      </c>
      <c r="T62" s="952">
        <v>0</v>
      </c>
      <c r="U62" s="954">
        <v>0</v>
      </c>
      <c r="V62" s="954">
        <v>0</v>
      </c>
      <c r="W62" s="518" t="s">
        <v>1537</v>
      </c>
      <c r="X62" s="491" t="s">
        <v>48</v>
      </c>
      <c r="Y62" s="786" t="s">
        <v>312</v>
      </c>
      <c r="Z62" s="787" t="s">
        <v>839</v>
      </c>
      <c r="AA62" s="786" t="s">
        <v>839</v>
      </c>
    </row>
    <row r="63" spans="1:27" ht="25.5" x14ac:dyDescent="0.25">
      <c r="A63" s="77" t="s">
        <v>116</v>
      </c>
      <c r="B63" s="96" t="s">
        <v>791</v>
      </c>
      <c r="C63" s="85">
        <v>2018</v>
      </c>
      <c r="D63" s="85" t="s">
        <v>104</v>
      </c>
      <c r="E63" s="84" t="s">
        <v>78</v>
      </c>
      <c r="F63" s="932" t="s">
        <v>78</v>
      </c>
      <c r="G63" s="945" t="s">
        <v>117</v>
      </c>
      <c r="H63" s="25">
        <v>27845.79</v>
      </c>
      <c r="I63" s="585">
        <v>0</v>
      </c>
      <c r="J63" s="17">
        <v>27095.851750000002</v>
      </c>
      <c r="K63" s="299">
        <v>749.93824999999924</v>
      </c>
      <c r="L63" s="718">
        <v>27845.79</v>
      </c>
      <c r="M63" s="249">
        <v>0</v>
      </c>
      <c r="N63" s="250">
        <f t="shared" si="8"/>
        <v>27845.79</v>
      </c>
      <c r="O63" s="29">
        <v>0</v>
      </c>
      <c r="P63" s="27">
        <v>0</v>
      </c>
      <c r="Q63" s="26">
        <v>0</v>
      </c>
      <c r="R63" s="434">
        <v>0</v>
      </c>
      <c r="S63" s="18">
        <v>0</v>
      </c>
      <c r="T63" s="27">
        <v>0</v>
      </c>
      <c r="U63" s="32">
        <v>0</v>
      </c>
      <c r="V63" s="32">
        <v>0</v>
      </c>
      <c r="W63" s="4" t="s">
        <v>996</v>
      </c>
      <c r="X63" s="55" t="s">
        <v>48</v>
      </c>
      <c r="Y63" s="107" t="s">
        <v>571</v>
      </c>
      <c r="Z63" s="267" t="s">
        <v>839</v>
      </c>
      <c r="AA63" s="107" t="s">
        <v>839</v>
      </c>
    </row>
    <row r="64" spans="1:27" s="710" customFormat="1" ht="25.5" x14ac:dyDescent="0.25">
      <c r="A64" s="79" t="s">
        <v>118</v>
      </c>
      <c r="B64" s="121" t="s">
        <v>792</v>
      </c>
      <c r="C64" s="75">
        <v>2018</v>
      </c>
      <c r="D64" s="75" t="s">
        <v>104</v>
      </c>
      <c r="E64" s="76" t="s">
        <v>78</v>
      </c>
      <c r="F64" s="83" t="s">
        <v>78</v>
      </c>
      <c r="G64" s="166" t="s">
        <v>119</v>
      </c>
      <c r="H64" s="38">
        <v>21718.401010000001</v>
      </c>
      <c r="I64" s="584">
        <v>5333.8653800000002</v>
      </c>
      <c r="J64" s="22">
        <v>16384.535619999999</v>
      </c>
      <c r="K64" s="719">
        <v>0</v>
      </c>
      <c r="L64" s="635">
        <v>16384.535630000002</v>
      </c>
      <c r="M64" s="539">
        <v>0</v>
      </c>
      <c r="N64" s="312">
        <f t="shared" si="8"/>
        <v>16384.535630000002</v>
      </c>
      <c r="O64" s="82">
        <v>0</v>
      </c>
      <c r="P64" s="21">
        <v>0</v>
      </c>
      <c r="Q64" s="20">
        <v>0</v>
      </c>
      <c r="R64" s="456">
        <v>0</v>
      </c>
      <c r="S64" s="23">
        <v>0</v>
      </c>
      <c r="T64" s="21">
        <v>0</v>
      </c>
      <c r="U64" s="39">
        <v>0</v>
      </c>
      <c r="V64" s="39">
        <v>0</v>
      </c>
      <c r="W64" s="80" t="s">
        <v>784</v>
      </c>
      <c r="X64" s="118" t="s">
        <v>877</v>
      </c>
      <c r="Y64" s="71" t="s">
        <v>27</v>
      </c>
      <c r="Z64" s="315" t="s">
        <v>839</v>
      </c>
      <c r="AA64" s="71" t="s">
        <v>839</v>
      </c>
    </row>
    <row r="65" spans="1:27" ht="25.5" x14ac:dyDescent="0.25">
      <c r="A65" s="77" t="s">
        <v>120</v>
      </c>
      <c r="B65" s="96" t="s">
        <v>794</v>
      </c>
      <c r="C65" s="85">
        <v>2018</v>
      </c>
      <c r="D65" s="85" t="s">
        <v>104</v>
      </c>
      <c r="E65" s="84" t="s">
        <v>78</v>
      </c>
      <c r="F65" s="932" t="s">
        <v>78</v>
      </c>
      <c r="G65" s="944" t="s">
        <v>121</v>
      </c>
      <c r="H65" s="25">
        <v>6106.96922</v>
      </c>
      <c r="I65" s="583">
        <v>1174.0888600000001</v>
      </c>
      <c r="J65" s="17">
        <v>4731.2083899999998</v>
      </c>
      <c r="K65" s="1947">
        <v>201.67196999999999</v>
      </c>
      <c r="L65" s="453">
        <v>4932.8803600000001</v>
      </c>
      <c r="M65" s="249">
        <v>0</v>
      </c>
      <c r="N65" s="250">
        <f t="shared" si="8"/>
        <v>4932.8803600000001</v>
      </c>
      <c r="O65" s="29">
        <v>0</v>
      </c>
      <c r="P65" s="27">
        <v>0</v>
      </c>
      <c r="Q65" s="26">
        <v>0</v>
      </c>
      <c r="R65" s="434">
        <v>0</v>
      </c>
      <c r="S65" s="18">
        <v>0</v>
      </c>
      <c r="T65" s="27">
        <v>0</v>
      </c>
      <c r="U65" s="32">
        <v>0</v>
      </c>
      <c r="V65" s="32">
        <v>0</v>
      </c>
      <c r="W65" s="4" t="s">
        <v>996</v>
      </c>
      <c r="X65" s="55" t="s">
        <v>48</v>
      </c>
      <c r="Y65" s="107" t="s">
        <v>571</v>
      </c>
      <c r="Z65" s="267" t="s">
        <v>839</v>
      </c>
      <c r="AA65" s="107" t="s">
        <v>839</v>
      </c>
    </row>
    <row r="66" spans="1:27" s="717" customFormat="1" ht="25.5" x14ac:dyDescent="0.25">
      <c r="A66" s="946" t="s">
        <v>122</v>
      </c>
      <c r="B66" s="866" t="s">
        <v>802</v>
      </c>
      <c r="C66" s="947">
        <v>2018</v>
      </c>
      <c r="D66" s="947" t="s">
        <v>104</v>
      </c>
      <c r="E66" s="948" t="s">
        <v>78</v>
      </c>
      <c r="F66" s="949" t="s">
        <v>78</v>
      </c>
      <c r="G66" s="950" t="s">
        <v>123</v>
      </c>
      <c r="H66" s="519">
        <v>3750</v>
      </c>
      <c r="I66" s="716">
        <v>0</v>
      </c>
      <c r="J66" s="521">
        <v>0</v>
      </c>
      <c r="K66" s="871">
        <v>3700</v>
      </c>
      <c r="L66" s="872">
        <v>3499.85</v>
      </c>
      <c r="M66" s="873">
        <v>200.15</v>
      </c>
      <c r="N66" s="874">
        <f t="shared" si="8"/>
        <v>3700</v>
      </c>
      <c r="O66" s="951">
        <v>0</v>
      </c>
      <c r="P66" s="952">
        <v>0</v>
      </c>
      <c r="Q66" s="953">
        <v>0</v>
      </c>
      <c r="R66" s="781">
        <v>50</v>
      </c>
      <c r="S66" s="783">
        <v>0</v>
      </c>
      <c r="T66" s="952">
        <v>50</v>
      </c>
      <c r="U66" s="954">
        <v>0</v>
      </c>
      <c r="V66" s="954">
        <v>0</v>
      </c>
      <c r="W66" s="518" t="s">
        <v>1538</v>
      </c>
      <c r="X66" s="491" t="s">
        <v>48</v>
      </c>
      <c r="Y66" s="786" t="s">
        <v>317</v>
      </c>
      <c r="Z66" s="787" t="s">
        <v>839</v>
      </c>
      <c r="AA66" s="786" t="s">
        <v>839</v>
      </c>
    </row>
    <row r="67" spans="1:27" s="705" customFormat="1" ht="25.5" x14ac:dyDescent="0.25">
      <c r="A67" s="1331" t="s">
        <v>124</v>
      </c>
      <c r="B67" s="1332" t="s">
        <v>802</v>
      </c>
      <c r="C67" s="1333">
        <v>2018</v>
      </c>
      <c r="D67" s="1333" t="s">
        <v>104</v>
      </c>
      <c r="E67" s="1334" t="s">
        <v>78</v>
      </c>
      <c r="F67" s="1335" t="s">
        <v>78</v>
      </c>
      <c r="G67" s="1336" t="s">
        <v>1501</v>
      </c>
      <c r="H67" s="1323">
        <v>10031</v>
      </c>
      <c r="I67" s="1900">
        <v>0</v>
      </c>
      <c r="J67" s="1409">
        <v>0</v>
      </c>
      <c r="K67" s="1338">
        <v>10031</v>
      </c>
      <c r="L67" s="1339">
        <v>9928.0499999999993</v>
      </c>
      <c r="M67" s="1326">
        <v>102.95</v>
      </c>
      <c r="N67" s="1340">
        <f t="shared" si="8"/>
        <v>10031</v>
      </c>
      <c r="O67" s="1341">
        <v>0</v>
      </c>
      <c r="P67" s="1342">
        <v>0</v>
      </c>
      <c r="Q67" s="1343">
        <v>0</v>
      </c>
      <c r="R67" s="1344">
        <v>0</v>
      </c>
      <c r="S67" s="1345">
        <v>0</v>
      </c>
      <c r="T67" s="1342">
        <v>0</v>
      </c>
      <c r="U67" s="1346">
        <v>0</v>
      </c>
      <c r="V67" s="1346">
        <v>0</v>
      </c>
      <c r="W67" s="683" t="s">
        <v>1512</v>
      </c>
      <c r="X67" s="662" t="s">
        <v>48</v>
      </c>
      <c r="Y67" s="1347" t="s">
        <v>312</v>
      </c>
      <c r="Z67" s="1348" t="s">
        <v>839</v>
      </c>
      <c r="AA67" s="1347" t="s">
        <v>839</v>
      </c>
    </row>
    <row r="68" spans="1:27" s="686" customFormat="1" ht="25.5" x14ac:dyDescent="0.25">
      <c r="A68" s="934" t="s">
        <v>125</v>
      </c>
      <c r="B68" s="935" t="s">
        <v>793</v>
      </c>
      <c r="C68" s="941">
        <v>2018</v>
      </c>
      <c r="D68" s="941" t="s">
        <v>104</v>
      </c>
      <c r="E68" s="1322" t="s">
        <v>78</v>
      </c>
      <c r="F68" s="936" t="s">
        <v>78</v>
      </c>
      <c r="G68" s="1330" t="s">
        <v>126</v>
      </c>
      <c r="H68" s="1321">
        <v>26742.46</v>
      </c>
      <c r="I68" s="1320">
        <v>12055.275900000001</v>
      </c>
      <c r="J68" s="691">
        <v>14502.916999999999</v>
      </c>
      <c r="K68" s="842">
        <v>184.26710000000099</v>
      </c>
      <c r="L68" s="843">
        <v>16687.184099999999</v>
      </c>
      <c r="M68" s="844">
        <v>-2000</v>
      </c>
      <c r="N68" s="845">
        <f t="shared" si="8"/>
        <v>14687.184099999999</v>
      </c>
      <c r="O68" s="937">
        <v>0</v>
      </c>
      <c r="P68" s="938">
        <v>0</v>
      </c>
      <c r="Q68" s="939">
        <v>0</v>
      </c>
      <c r="R68" s="840">
        <v>0</v>
      </c>
      <c r="S68" s="18">
        <v>0</v>
      </c>
      <c r="T68" s="938">
        <v>0</v>
      </c>
      <c r="U68" s="940">
        <v>0</v>
      </c>
      <c r="V68" s="940">
        <v>0</v>
      </c>
      <c r="W68" s="638" t="s">
        <v>1511</v>
      </c>
      <c r="X68" s="317" t="s">
        <v>48</v>
      </c>
      <c r="Y68" s="850" t="s">
        <v>27</v>
      </c>
      <c r="Z68" s="849" t="s">
        <v>839</v>
      </c>
      <c r="AA68" s="850" t="s">
        <v>839</v>
      </c>
    </row>
    <row r="69" spans="1:27" ht="25.5" x14ac:dyDescent="0.25">
      <c r="A69" s="77" t="s">
        <v>127</v>
      </c>
      <c r="B69" s="96" t="s">
        <v>771</v>
      </c>
      <c r="C69" s="85">
        <v>2018</v>
      </c>
      <c r="D69" s="85" t="s">
        <v>104</v>
      </c>
      <c r="E69" s="84" t="s">
        <v>78</v>
      </c>
      <c r="F69" s="932" t="s">
        <v>78</v>
      </c>
      <c r="G69" s="945" t="s">
        <v>128</v>
      </c>
      <c r="H69" s="25">
        <v>385</v>
      </c>
      <c r="I69" s="583">
        <v>0</v>
      </c>
      <c r="J69" s="17">
        <v>0</v>
      </c>
      <c r="K69" s="574">
        <v>385</v>
      </c>
      <c r="L69" s="718">
        <v>385</v>
      </c>
      <c r="M69" s="249">
        <v>0</v>
      </c>
      <c r="N69" s="250">
        <f t="shared" si="8"/>
        <v>385</v>
      </c>
      <c r="O69" s="29">
        <v>0</v>
      </c>
      <c r="P69" s="27">
        <v>0</v>
      </c>
      <c r="Q69" s="26">
        <v>0</v>
      </c>
      <c r="R69" s="434">
        <v>0</v>
      </c>
      <c r="S69" s="18">
        <v>0</v>
      </c>
      <c r="T69" s="27">
        <v>0</v>
      </c>
      <c r="U69" s="32">
        <v>0</v>
      </c>
      <c r="V69" s="32">
        <v>0</v>
      </c>
      <c r="W69" s="5" t="s">
        <v>784</v>
      </c>
      <c r="X69" s="55" t="s">
        <v>48</v>
      </c>
      <c r="Y69" s="107" t="s">
        <v>571</v>
      </c>
      <c r="Z69" s="267" t="s">
        <v>839</v>
      </c>
      <c r="AA69" s="107" t="s">
        <v>839</v>
      </c>
    </row>
    <row r="70" spans="1:27" ht="30" x14ac:dyDescent="0.25">
      <c r="A70" s="77" t="s">
        <v>129</v>
      </c>
      <c r="B70" s="96" t="s">
        <v>772</v>
      </c>
      <c r="C70" s="85">
        <v>2018</v>
      </c>
      <c r="D70" s="85" t="s">
        <v>104</v>
      </c>
      <c r="E70" s="84" t="s">
        <v>78</v>
      </c>
      <c r="F70" s="932" t="s">
        <v>78</v>
      </c>
      <c r="G70" s="944" t="s">
        <v>130</v>
      </c>
      <c r="H70" s="25">
        <v>539</v>
      </c>
      <c r="I70" s="583">
        <v>0</v>
      </c>
      <c r="J70" s="17">
        <v>0</v>
      </c>
      <c r="K70" s="574">
        <v>539</v>
      </c>
      <c r="L70" s="718">
        <v>539</v>
      </c>
      <c r="M70" s="249">
        <v>0</v>
      </c>
      <c r="N70" s="250">
        <f t="shared" si="8"/>
        <v>539</v>
      </c>
      <c r="O70" s="29">
        <v>0</v>
      </c>
      <c r="P70" s="27">
        <v>0</v>
      </c>
      <c r="Q70" s="26">
        <v>0</v>
      </c>
      <c r="R70" s="434">
        <v>0</v>
      </c>
      <c r="S70" s="18">
        <v>0</v>
      </c>
      <c r="T70" s="27">
        <v>0</v>
      </c>
      <c r="U70" s="32">
        <v>0</v>
      </c>
      <c r="V70" s="32">
        <v>0</v>
      </c>
      <c r="W70" s="5" t="s">
        <v>784</v>
      </c>
      <c r="X70" s="55" t="s">
        <v>48</v>
      </c>
      <c r="Y70" s="107" t="s">
        <v>571</v>
      </c>
      <c r="Z70" s="267" t="s">
        <v>839</v>
      </c>
      <c r="AA70" s="107" t="s">
        <v>839</v>
      </c>
    </row>
    <row r="71" spans="1:27" ht="30" x14ac:dyDescent="0.25">
      <c r="A71" s="77" t="s">
        <v>131</v>
      </c>
      <c r="B71" s="96" t="s">
        <v>773</v>
      </c>
      <c r="C71" s="85">
        <v>2018</v>
      </c>
      <c r="D71" s="85" t="s">
        <v>104</v>
      </c>
      <c r="E71" s="84" t="s">
        <v>78</v>
      </c>
      <c r="F71" s="932" t="s">
        <v>78</v>
      </c>
      <c r="G71" s="944" t="s">
        <v>132</v>
      </c>
      <c r="H71" s="25">
        <v>4246.3500000000004</v>
      </c>
      <c r="I71" s="583">
        <v>0</v>
      </c>
      <c r="J71" s="17">
        <v>0</v>
      </c>
      <c r="K71" s="186">
        <v>4246.3500000000004</v>
      </c>
      <c r="L71" s="718">
        <v>4246.3500000000004</v>
      </c>
      <c r="M71" s="249">
        <v>0</v>
      </c>
      <c r="N71" s="250">
        <f t="shared" si="8"/>
        <v>4246.3500000000004</v>
      </c>
      <c r="O71" s="29">
        <v>0</v>
      </c>
      <c r="P71" s="27">
        <v>0</v>
      </c>
      <c r="Q71" s="26">
        <v>0</v>
      </c>
      <c r="R71" s="434">
        <v>0</v>
      </c>
      <c r="S71" s="18">
        <v>0</v>
      </c>
      <c r="T71" s="27">
        <v>0</v>
      </c>
      <c r="U71" s="32">
        <v>0</v>
      </c>
      <c r="V71" s="32">
        <v>0</v>
      </c>
      <c r="W71" s="5" t="s">
        <v>784</v>
      </c>
      <c r="X71" s="55" t="s">
        <v>48</v>
      </c>
      <c r="Y71" s="107" t="s">
        <v>571</v>
      </c>
      <c r="Z71" s="267" t="s">
        <v>839</v>
      </c>
      <c r="AA71" s="107" t="s">
        <v>839</v>
      </c>
    </row>
    <row r="72" spans="1:27" s="717" customFormat="1" ht="30" x14ac:dyDescent="0.25">
      <c r="A72" s="946" t="s">
        <v>133</v>
      </c>
      <c r="B72" s="866" t="s">
        <v>774</v>
      </c>
      <c r="C72" s="947">
        <v>2018</v>
      </c>
      <c r="D72" s="947" t="s">
        <v>104</v>
      </c>
      <c r="E72" s="948" t="s">
        <v>78</v>
      </c>
      <c r="F72" s="949" t="s">
        <v>78</v>
      </c>
      <c r="G72" s="955" t="s">
        <v>134</v>
      </c>
      <c r="H72" s="519">
        <v>7434.9926800000003</v>
      </c>
      <c r="I72" s="716">
        <v>0</v>
      </c>
      <c r="J72" s="521">
        <v>6375.5720899999997</v>
      </c>
      <c r="K72" s="870">
        <f>858.56791+166.248+34.60468</f>
        <v>1059.4205899999999</v>
      </c>
      <c r="L72" s="872">
        <v>7400.3879999999999</v>
      </c>
      <c r="M72" s="873">
        <v>34.604680000000002</v>
      </c>
      <c r="N72" s="874">
        <f>L72+M72</f>
        <v>7434.9926800000003</v>
      </c>
      <c r="O72" s="951">
        <v>0</v>
      </c>
      <c r="P72" s="952">
        <v>0</v>
      </c>
      <c r="Q72" s="953">
        <v>0</v>
      </c>
      <c r="R72" s="781">
        <v>0</v>
      </c>
      <c r="S72" s="783">
        <v>0</v>
      </c>
      <c r="T72" s="952">
        <v>0</v>
      </c>
      <c r="U72" s="954">
        <v>0</v>
      </c>
      <c r="V72" s="954">
        <v>0</v>
      </c>
      <c r="W72" s="518" t="s">
        <v>1510</v>
      </c>
      <c r="X72" s="491" t="s">
        <v>48</v>
      </c>
      <c r="Y72" s="786" t="s">
        <v>27</v>
      </c>
      <c r="Z72" s="787" t="s">
        <v>839</v>
      </c>
      <c r="AA72" s="786" t="s">
        <v>839</v>
      </c>
    </row>
    <row r="73" spans="1:27" ht="30" x14ac:dyDescent="0.25">
      <c r="A73" s="77" t="s">
        <v>135</v>
      </c>
      <c r="B73" s="96" t="s">
        <v>802</v>
      </c>
      <c r="C73" s="85">
        <v>2018</v>
      </c>
      <c r="D73" s="85" t="s">
        <v>104</v>
      </c>
      <c r="E73" s="84" t="s">
        <v>78</v>
      </c>
      <c r="F73" s="932" t="s">
        <v>78</v>
      </c>
      <c r="G73" s="956" t="s">
        <v>136</v>
      </c>
      <c r="H73" s="25">
        <v>13322.95</v>
      </c>
      <c r="I73" s="583">
        <v>0</v>
      </c>
      <c r="J73" s="17">
        <v>0</v>
      </c>
      <c r="K73" s="186">
        <v>0</v>
      </c>
      <c r="L73" s="720">
        <v>0</v>
      </c>
      <c r="M73" s="249">
        <v>0</v>
      </c>
      <c r="N73" s="250">
        <f t="shared" si="8"/>
        <v>0</v>
      </c>
      <c r="O73" s="29">
        <v>0</v>
      </c>
      <c r="P73" s="27">
        <v>0</v>
      </c>
      <c r="Q73" s="26">
        <v>0</v>
      </c>
      <c r="R73" s="434">
        <v>0</v>
      </c>
      <c r="S73" s="18">
        <v>0</v>
      </c>
      <c r="T73" s="27">
        <v>13322.95</v>
      </c>
      <c r="U73" s="32">
        <v>0</v>
      </c>
      <c r="V73" s="32">
        <v>0</v>
      </c>
      <c r="W73" s="5" t="s">
        <v>784</v>
      </c>
      <c r="X73" s="55" t="s">
        <v>48</v>
      </c>
      <c r="Y73" s="107" t="s">
        <v>755</v>
      </c>
      <c r="Z73" s="267" t="s">
        <v>839</v>
      </c>
      <c r="AA73" s="107" t="s">
        <v>838</v>
      </c>
    </row>
    <row r="74" spans="1:27" ht="30" x14ac:dyDescent="0.25">
      <c r="A74" s="77" t="s">
        <v>137</v>
      </c>
      <c r="B74" s="96" t="s">
        <v>802</v>
      </c>
      <c r="C74" s="85">
        <v>2018</v>
      </c>
      <c r="D74" s="85" t="s">
        <v>104</v>
      </c>
      <c r="E74" s="84" t="s">
        <v>78</v>
      </c>
      <c r="F74" s="932" t="s">
        <v>78</v>
      </c>
      <c r="G74" s="956" t="s">
        <v>138</v>
      </c>
      <c r="H74" s="25">
        <v>3124.5</v>
      </c>
      <c r="I74" s="583">
        <v>0</v>
      </c>
      <c r="J74" s="17">
        <v>0</v>
      </c>
      <c r="K74" s="299">
        <f>3125-0.5</f>
        <v>3124.5</v>
      </c>
      <c r="L74" s="718">
        <v>3124.5</v>
      </c>
      <c r="M74" s="249">
        <v>0</v>
      </c>
      <c r="N74" s="250">
        <f t="shared" si="8"/>
        <v>3124.5</v>
      </c>
      <c r="O74" s="29">
        <v>0</v>
      </c>
      <c r="P74" s="27">
        <v>0</v>
      </c>
      <c r="Q74" s="26">
        <v>0</v>
      </c>
      <c r="R74" s="434">
        <v>0</v>
      </c>
      <c r="S74" s="18">
        <v>0</v>
      </c>
      <c r="T74" s="27">
        <v>0</v>
      </c>
      <c r="U74" s="32">
        <v>0</v>
      </c>
      <c r="V74" s="32">
        <v>0</v>
      </c>
      <c r="W74" s="4" t="s">
        <v>784</v>
      </c>
      <c r="X74" s="55" t="s">
        <v>48</v>
      </c>
      <c r="Y74" s="107" t="s">
        <v>571</v>
      </c>
      <c r="Z74" s="267" t="s">
        <v>839</v>
      </c>
      <c r="AA74" s="107" t="s">
        <v>839</v>
      </c>
    </row>
    <row r="75" spans="1:27" ht="25.5" x14ac:dyDescent="0.25">
      <c r="A75" s="77" t="s">
        <v>139</v>
      </c>
      <c r="B75" s="96" t="s">
        <v>795</v>
      </c>
      <c r="C75" s="85">
        <v>2018</v>
      </c>
      <c r="D75" s="85" t="s">
        <v>104</v>
      </c>
      <c r="E75" s="84" t="s">
        <v>78</v>
      </c>
      <c r="F75" s="932" t="s">
        <v>78</v>
      </c>
      <c r="G75" s="945" t="s">
        <v>140</v>
      </c>
      <c r="H75" s="25">
        <v>7067.45</v>
      </c>
      <c r="I75" s="583">
        <v>1210</v>
      </c>
      <c r="J75" s="17">
        <v>5754.90535</v>
      </c>
      <c r="K75" s="186">
        <v>102.54465</v>
      </c>
      <c r="L75" s="718">
        <v>5857.45</v>
      </c>
      <c r="M75" s="249">
        <v>0</v>
      </c>
      <c r="N75" s="250">
        <f t="shared" si="8"/>
        <v>5857.45</v>
      </c>
      <c r="O75" s="29">
        <v>0</v>
      </c>
      <c r="P75" s="27">
        <v>0</v>
      </c>
      <c r="Q75" s="26">
        <v>0</v>
      </c>
      <c r="R75" s="434">
        <v>0</v>
      </c>
      <c r="S75" s="18">
        <v>0</v>
      </c>
      <c r="T75" s="27">
        <v>0</v>
      </c>
      <c r="U75" s="32">
        <v>0</v>
      </c>
      <c r="V75" s="32">
        <v>0</v>
      </c>
      <c r="W75" s="4" t="s">
        <v>784</v>
      </c>
      <c r="X75" s="55" t="s">
        <v>48</v>
      </c>
      <c r="Y75" s="107" t="s">
        <v>571</v>
      </c>
      <c r="Z75" s="267" t="s">
        <v>839</v>
      </c>
      <c r="AA75" s="107" t="s">
        <v>839</v>
      </c>
    </row>
    <row r="76" spans="1:27" s="710" customFormat="1" ht="25.5" x14ac:dyDescent="0.25">
      <c r="A76" s="79" t="s">
        <v>141</v>
      </c>
      <c r="B76" s="121" t="s">
        <v>843</v>
      </c>
      <c r="C76" s="75">
        <v>2018</v>
      </c>
      <c r="D76" s="75" t="s">
        <v>104</v>
      </c>
      <c r="E76" s="76" t="s">
        <v>78</v>
      </c>
      <c r="F76" s="83" t="s">
        <v>78</v>
      </c>
      <c r="G76" s="167" t="s">
        <v>142</v>
      </c>
      <c r="H76" s="22">
        <v>3751</v>
      </c>
      <c r="I76" s="586">
        <v>0</v>
      </c>
      <c r="J76" s="22">
        <v>3751</v>
      </c>
      <c r="K76" s="719">
        <v>0</v>
      </c>
      <c r="L76" s="635">
        <v>3751</v>
      </c>
      <c r="M76" s="539">
        <v>0</v>
      </c>
      <c r="N76" s="312">
        <f t="shared" si="8"/>
        <v>3751</v>
      </c>
      <c r="O76" s="37">
        <v>0</v>
      </c>
      <c r="P76" s="24">
        <v>0</v>
      </c>
      <c r="Q76" s="23">
        <v>0</v>
      </c>
      <c r="R76" s="456">
        <v>0</v>
      </c>
      <c r="S76" s="23">
        <v>0</v>
      </c>
      <c r="T76" s="24">
        <v>0</v>
      </c>
      <c r="U76" s="37">
        <v>0</v>
      </c>
      <c r="V76" s="24">
        <v>0</v>
      </c>
      <c r="W76" s="80" t="s">
        <v>784</v>
      </c>
      <c r="X76" s="118" t="s">
        <v>877</v>
      </c>
      <c r="Y76" s="71" t="s">
        <v>23</v>
      </c>
      <c r="Z76" s="315" t="s">
        <v>839</v>
      </c>
      <c r="AA76" s="71" t="s">
        <v>839</v>
      </c>
    </row>
    <row r="77" spans="1:27" s="710" customFormat="1" ht="30" x14ac:dyDescent="0.25">
      <c r="A77" s="79" t="s">
        <v>143</v>
      </c>
      <c r="B77" s="121" t="s">
        <v>802</v>
      </c>
      <c r="C77" s="75">
        <v>2018</v>
      </c>
      <c r="D77" s="75" t="s">
        <v>104</v>
      </c>
      <c r="E77" s="76" t="s">
        <v>78</v>
      </c>
      <c r="F77" s="83" t="s">
        <v>78</v>
      </c>
      <c r="G77" s="1926" t="s">
        <v>144</v>
      </c>
      <c r="H77" s="22">
        <v>9636.2491800000007</v>
      </c>
      <c r="I77" s="586">
        <v>0</v>
      </c>
      <c r="J77" s="22">
        <v>0</v>
      </c>
      <c r="K77" s="719">
        <v>9636.2491800000007</v>
      </c>
      <c r="L77" s="635">
        <v>9636.2491800000007</v>
      </c>
      <c r="M77" s="539">
        <v>0</v>
      </c>
      <c r="N77" s="312">
        <f t="shared" si="8"/>
        <v>9636.2491800000007</v>
      </c>
      <c r="O77" s="82">
        <v>0</v>
      </c>
      <c r="P77" s="21">
        <v>0</v>
      </c>
      <c r="Q77" s="20">
        <v>0</v>
      </c>
      <c r="R77" s="456">
        <v>0</v>
      </c>
      <c r="S77" s="23">
        <v>0</v>
      </c>
      <c r="T77" s="21">
        <v>0</v>
      </c>
      <c r="U77" s="39">
        <v>0</v>
      </c>
      <c r="V77" s="39">
        <v>0</v>
      </c>
      <c r="W77" s="72" t="s">
        <v>784</v>
      </c>
      <c r="X77" s="118" t="s">
        <v>877</v>
      </c>
      <c r="Y77" s="71" t="s">
        <v>27</v>
      </c>
      <c r="Z77" s="315" t="s">
        <v>839</v>
      </c>
      <c r="AA77" s="71" t="s">
        <v>839</v>
      </c>
    </row>
    <row r="78" spans="1:27" ht="25.5" x14ac:dyDescent="0.25">
      <c r="A78" s="77" t="s">
        <v>145</v>
      </c>
      <c r="B78" s="96" t="s">
        <v>802</v>
      </c>
      <c r="C78" s="85">
        <v>2018</v>
      </c>
      <c r="D78" s="85" t="s">
        <v>104</v>
      </c>
      <c r="E78" s="84" t="s">
        <v>78</v>
      </c>
      <c r="F78" s="932" t="s">
        <v>78</v>
      </c>
      <c r="G78" s="945" t="s">
        <v>146</v>
      </c>
      <c r="H78" s="6">
        <v>1860</v>
      </c>
      <c r="I78" s="583">
        <v>0</v>
      </c>
      <c r="J78" s="17">
        <v>0</v>
      </c>
      <c r="K78" s="186">
        <v>1860</v>
      </c>
      <c r="L78" s="718">
        <v>1860</v>
      </c>
      <c r="M78" s="249">
        <v>0</v>
      </c>
      <c r="N78" s="250">
        <f t="shared" si="8"/>
        <v>1860</v>
      </c>
      <c r="O78" s="29">
        <v>0</v>
      </c>
      <c r="P78" s="27">
        <v>0</v>
      </c>
      <c r="Q78" s="26">
        <v>0</v>
      </c>
      <c r="R78" s="434">
        <v>0</v>
      </c>
      <c r="S78" s="23">
        <v>0</v>
      </c>
      <c r="T78" s="27">
        <v>0</v>
      </c>
      <c r="U78" s="32">
        <v>0</v>
      </c>
      <c r="V78" s="32">
        <v>0</v>
      </c>
      <c r="W78" s="5" t="s">
        <v>784</v>
      </c>
      <c r="X78" s="55" t="s">
        <v>22</v>
      </c>
      <c r="Y78" s="107" t="s">
        <v>317</v>
      </c>
      <c r="Z78" s="267" t="s">
        <v>838</v>
      </c>
      <c r="AA78" s="107" t="s">
        <v>838</v>
      </c>
    </row>
    <row r="79" spans="1:27" ht="25.5" x14ac:dyDescent="0.25">
      <c r="A79" s="77" t="s">
        <v>147</v>
      </c>
      <c r="B79" s="96" t="s">
        <v>802</v>
      </c>
      <c r="C79" s="85">
        <v>2018</v>
      </c>
      <c r="D79" s="85" t="s">
        <v>104</v>
      </c>
      <c r="E79" s="84" t="s">
        <v>78</v>
      </c>
      <c r="F79" s="932" t="s">
        <v>78</v>
      </c>
      <c r="G79" s="945" t="s">
        <v>148</v>
      </c>
      <c r="H79" s="25">
        <v>350</v>
      </c>
      <c r="I79" s="583">
        <v>0</v>
      </c>
      <c r="J79" s="17">
        <v>0</v>
      </c>
      <c r="K79" s="186">
        <v>350</v>
      </c>
      <c r="L79" s="718">
        <v>350</v>
      </c>
      <c r="M79" s="249">
        <v>0</v>
      </c>
      <c r="N79" s="250">
        <f t="shared" si="8"/>
        <v>350</v>
      </c>
      <c r="O79" s="29">
        <v>0</v>
      </c>
      <c r="P79" s="27">
        <v>0</v>
      </c>
      <c r="Q79" s="26">
        <v>0</v>
      </c>
      <c r="R79" s="434">
        <v>0</v>
      </c>
      <c r="S79" s="23">
        <v>0</v>
      </c>
      <c r="T79" s="27">
        <v>0</v>
      </c>
      <c r="U79" s="32">
        <v>0</v>
      </c>
      <c r="V79" s="32">
        <v>0</v>
      </c>
      <c r="W79" s="5" t="s">
        <v>784</v>
      </c>
      <c r="X79" s="55" t="s">
        <v>22</v>
      </c>
      <c r="Y79" s="107" t="s">
        <v>317</v>
      </c>
      <c r="Z79" s="267" t="s">
        <v>838</v>
      </c>
      <c r="AA79" s="107" t="s">
        <v>838</v>
      </c>
    </row>
    <row r="80" spans="1:27" s="710" customFormat="1" ht="25.5" x14ac:dyDescent="0.25">
      <c r="A80" s="79" t="s">
        <v>149</v>
      </c>
      <c r="B80" s="121" t="s">
        <v>796</v>
      </c>
      <c r="C80" s="75">
        <v>2018</v>
      </c>
      <c r="D80" s="75" t="s">
        <v>104</v>
      </c>
      <c r="E80" s="76" t="s">
        <v>78</v>
      </c>
      <c r="F80" s="83" t="s">
        <v>78</v>
      </c>
      <c r="G80" s="167" t="s">
        <v>150</v>
      </c>
      <c r="H80" s="38">
        <v>12010.78</v>
      </c>
      <c r="I80" s="584">
        <v>11242.8</v>
      </c>
      <c r="J80" s="22">
        <v>767.97896000000003</v>
      </c>
      <c r="K80" s="719">
        <v>0</v>
      </c>
      <c r="L80" s="635">
        <v>767.98000000000138</v>
      </c>
      <c r="M80" s="539">
        <v>0</v>
      </c>
      <c r="N80" s="312">
        <f t="shared" si="8"/>
        <v>767.98000000000138</v>
      </c>
      <c r="O80" s="82">
        <v>0</v>
      </c>
      <c r="P80" s="21">
        <v>0</v>
      </c>
      <c r="Q80" s="20">
        <v>0</v>
      </c>
      <c r="R80" s="456">
        <v>0</v>
      </c>
      <c r="S80" s="23">
        <v>0</v>
      </c>
      <c r="T80" s="21">
        <v>0</v>
      </c>
      <c r="U80" s="39">
        <v>0</v>
      </c>
      <c r="V80" s="39">
        <v>0</v>
      </c>
      <c r="W80" s="80" t="s">
        <v>784</v>
      </c>
      <c r="X80" s="118" t="s">
        <v>877</v>
      </c>
      <c r="Y80" s="71" t="s">
        <v>775</v>
      </c>
      <c r="Z80" s="315" t="s">
        <v>839</v>
      </c>
      <c r="AA80" s="71" t="s">
        <v>839</v>
      </c>
    </row>
    <row r="81" spans="1:27" s="710" customFormat="1" ht="25.5" x14ac:dyDescent="0.25">
      <c r="A81" s="79" t="s">
        <v>151</v>
      </c>
      <c r="B81" s="121" t="s">
        <v>844</v>
      </c>
      <c r="C81" s="75">
        <v>2018</v>
      </c>
      <c r="D81" s="75" t="s">
        <v>104</v>
      </c>
      <c r="E81" s="76" t="s">
        <v>78</v>
      </c>
      <c r="F81" s="83" t="s">
        <v>78</v>
      </c>
      <c r="G81" s="167" t="s">
        <v>152</v>
      </c>
      <c r="H81" s="38">
        <v>7422.87</v>
      </c>
      <c r="I81" s="584">
        <v>0</v>
      </c>
      <c r="J81" s="22">
        <v>7422.8696300000001</v>
      </c>
      <c r="K81" s="719">
        <v>0</v>
      </c>
      <c r="L81" s="635">
        <v>7422.87</v>
      </c>
      <c r="M81" s="539">
        <v>0</v>
      </c>
      <c r="N81" s="312">
        <f t="shared" si="8"/>
        <v>7422.87</v>
      </c>
      <c r="O81" s="82">
        <v>0</v>
      </c>
      <c r="P81" s="21">
        <v>0</v>
      </c>
      <c r="Q81" s="20">
        <v>0</v>
      </c>
      <c r="R81" s="456">
        <v>0</v>
      </c>
      <c r="S81" s="23">
        <v>0</v>
      </c>
      <c r="T81" s="21">
        <v>0</v>
      </c>
      <c r="U81" s="39">
        <v>0</v>
      </c>
      <c r="V81" s="39">
        <v>0</v>
      </c>
      <c r="W81" s="80" t="s">
        <v>784</v>
      </c>
      <c r="X81" s="118" t="s">
        <v>877</v>
      </c>
      <c r="Y81" s="71" t="s">
        <v>572</v>
      </c>
      <c r="Z81" s="315" t="s">
        <v>839</v>
      </c>
      <c r="AA81" s="71" t="s">
        <v>839</v>
      </c>
    </row>
    <row r="82" spans="1:27" s="710" customFormat="1" ht="25.5" x14ac:dyDescent="0.25">
      <c r="A82" s="79" t="s">
        <v>153</v>
      </c>
      <c r="B82" s="121" t="s">
        <v>845</v>
      </c>
      <c r="C82" s="75">
        <v>2018</v>
      </c>
      <c r="D82" s="75" t="s">
        <v>104</v>
      </c>
      <c r="E82" s="76" t="s">
        <v>78</v>
      </c>
      <c r="F82" s="83" t="s">
        <v>78</v>
      </c>
      <c r="G82" s="957" t="s">
        <v>154</v>
      </c>
      <c r="H82" s="38">
        <f>7177.69+0.00267</f>
        <v>7177.6926699999995</v>
      </c>
      <c r="I82" s="584">
        <v>0</v>
      </c>
      <c r="J82" s="22">
        <v>7177.6926700000004</v>
      </c>
      <c r="K82" s="719">
        <v>0</v>
      </c>
      <c r="L82" s="635">
        <v>7177.6926699999995</v>
      </c>
      <c r="M82" s="539">
        <v>0</v>
      </c>
      <c r="N82" s="312">
        <f t="shared" si="8"/>
        <v>7177.6926699999995</v>
      </c>
      <c r="O82" s="37">
        <v>0</v>
      </c>
      <c r="P82" s="21">
        <v>0</v>
      </c>
      <c r="Q82" s="20">
        <v>0</v>
      </c>
      <c r="R82" s="456">
        <v>0</v>
      </c>
      <c r="S82" s="23">
        <v>0</v>
      </c>
      <c r="T82" s="24">
        <v>0</v>
      </c>
      <c r="U82" s="39">
        <v>0</v>
      </c>
      <c r="V82" s="39">
        <v>0</v>
      </c>
      <c r="W82" s="80" t="s">
        <v>784</v>
      </c>
      <c r="X82" s="118" t="s">
        <v>877</v>
      </c>
      <c r="Y82" s="71" t="s">
        <v>329</v>
      </c>
      <c r="Z82" s="315" t="s">
        <v>839</v>
      </c>
      <c r="AA82" s="71" t="s">
        <v>839</v>
      </c>
    </row>
    <row r="83" spans="1:27" ht="25.5" x14ac:dyDescent="0.25">
      <c r="A83" s="1306" t="s">
        <v>155</v>
      </c>
      <c r="B83" s="1043" t="s">
        <v>802</v>
      </c>
      <c r="C83" s="657">
        <v>2018</v>
      </c>
      <c r="D83" s="657" t="s">
        <v>104</v>
      </c>
      <c r="E83" s="1045" t="s">
        <v>14</v>
      </c>
      <c r="F83" s="1046" t="s">
        <v>14</v>
      </c>
      <c r="G83" s="1307" t="s">
        <v>156</v>
      </c>
      <c r="H83" s="813">
        <v>27718.73</v>
      </c>
      <c r="I83" s="721">
        <f>8828.88+971.30172</f>
        <v>9800.1817199999987</v>
      </c>
      <c r="J83" s="813">
        <v>1284.6999999999998</v>
      </c>
      <c r="K83" s="1309">
        <f>1285-570+0.3</f>
        <v>715.3</v>
      </c>
      <c r="L83" s="1310">
        <v>10000</v>
      </c>
      <c r="M83" s="1052">
        <v>-8000</v>
      </c>
      <c r="N83" s="1053">
        <f t="shared" si="8"/>
        <v>2000</v>
      </c>
      <c r="O83" s="1311">
        <v>0</v>
      </c>
      <c r="P83" s="1056">
        <v>0</v>
      </c>
      <c r="Q83" s="1244">
        <v>0</v>
      </c>
      <c r="R83" s="1049">
        <v>0</v>
      </c>
      <c r="S83" s="1244">
        <v>0</v>
      </c>
      <c r="T83" s="1310">
        <f>SUM(7918.54828+8000)</f>
        <v>15918.548279999999</v>
      </c>
      <c r="U83" s="1311">
        <v>0</v>
      </c>
      <c r="V83" s="1311">
        <v>0</v>
      </c>
      <c r="W83" s="1044" t="s">
        <v>1502</v>
      </c>
      <c r="X83" s="689" t="s">
        <v>48</v>
      </c>
      <c r="Y83" s="1062" t="s">
        <v>799</v>
      </c>
      <c r="Z83" s="1061" t="s">
        <v>799</v>
      </c>
      <c r="AA83" s="1062" t="s">
        <v>839</v>
      </c>
    </row>
    <row r="84" spans="1:27" ht="25.5" x14ac:dyDescent="0.25">
      <c r="A84" s="77" t="s">
        <v>157</v>
      </c>
      <c r="B84" s="96" t="s">
        <v>802</v>
      </c>
      <c r="C84" s="85">
        <v>2018</v>
      </c>
      <c r="D84" s="5" t="s">
        <v>816</v>
      </c>
      <c r="E84" s="84" t="s">
        <v>78</v>
      </c>
      <c r="F84" s="932" t="s">
        <v>78</v>
      </c>
      <c r="G84" s="301" t="s">
        <v>158</v>
      </c>
      <c r="H84" s="25">
        <v>11358.69</v>
      </c>
      <c r="I84" s="583">
        <v>0</v>
      </c>
      <c r="J84" s="17">
        <v>0</v>
      </c>
      <c r="K84" s="300">
        <v>11358.69</v>
      </c>
      <c r="L84" s="718">
        <v>11358.69</v>
      </c>
      <c r="M84" s="249">
        <v>0</v>
      </c>
      <c r="N84" s="250">
        <f t="shared" si="8"/>
        <v>11358.69</v>
      </c>
      <c r="O84" s="29">
        <v>0</v>
      </c>
      <c r="P84" s="27">
        <v>0</v>
      </c>
      <c r="Q84" s="26">
        <v>0</v>
      </c>
      <c r="R84" s="434">
        <v>0</v>
      </c>
      <c r="S84" s="18">
        <v>0</v>
      </c>
      <c r="T84" s="27">
        <v>0</v>
      </c>
      <c r="U84" s="32">
        <v>0</v>
      </c>
      <c r="V84" s="32">
        <v>0</v>
      </c>
      <c r="W84" s="5" t="s">
        <v>784</v>
      </c>
      <c r="X84" s="55" t="s">
        <v>48</v>
      </c>
      <c r="Y84" s="107" t="s">
        <v>317</v>
      </c>
      <c r="Z84" s="267" t="s">
        <v>839</v>
      </c>
      <c r="AA84" s="107" t="s">
        <v>839</v>
      </c>
    </row>
    <row r="85" spans="1:27" ht="25.5" x14ac:dyDescent="0.25">
      <c r="A85" s="77" t="s">
        <v>159</v>
      </c>
      <c r="B85" s="96" t="s">
        <v>847</v>
      </c>
      <c r="C85" s="85">
        <v>2018</v>
      </c>
      <c r="D85" s="5" t="s">
        <v>816</v>
      </c>
      <c r="E85" s="84" t="s">
        <v>78</v>
      </c>
      <c r="F85" s="932" t="s">
        <v>78</v>
      </c>
      <c r="G85" s="471" t="s">
        <v>160</v>
      </c>
      <c r="H85" s="25">
        <v>9850.6017699999993</v>
      </c>
      <c r="I85" s="583">
        <v>0</v>
      </c>
      <c r="J85" s="17">
        <v>1389.8616400000001</v>
      </c>
      <c r="K85" s="30">
        <v>8460.740130000002</v>
      </c>
      <c r="L85" s="718">
        <v>9850.6017700000011</v>
      </c>
      <c r="M85" s="249">
        <v>0</v>
      </c>
      <c r="N85" s="250">
        <f t="shared" si="8"/>
        <v>9850.6017700000011</v>
      </c>
      <c r="O85" s="29">
        <v>0</v>
      </c>
      <c r="P85" s="27">
        <v>0</v>
      </c>
      <c r="Q85" s="26">
        <v>0</v>
      </c>
      <c r="R85" s="434">
        <v>0</v>
      </c>
      <c r="S85" s="18">
        <v>0</v>
      </c>
      <c r="T85" s="27">
        <v>0</v>
      </c>
      <c r="U85" s="32">
        <v>0</v>
      </c>
      <c r="V85" s="32">
        <v>0</v>
      </c>
      <c r="W85" s="4" t="s">
        <v>784</v>
      </c>
      <c r="X85" s="55" t="s">
        <v>48</v>
      </c>
      <c r="Y85" s="107" t="s">
        <v>571</v>
      </c>
      <c r="Z85" s="267" t="s">
        <v>839</v>
      </c>
      <c r="AA85" s="107" t="s">
        <v>839</v>
      </c>
    </row>
    <row r="86" spans="1:27" s="717" customFormat="1" ht="30" x14ac:dyDescent="0.25">
      <c r="A86" s="946" t="s">
        <v>161</v>
      </c>
      <c r="B86" s="866" t="s">
        <v>802</v>
      </c>
      <c r="C86" s="947">
        <v>2018</v>
      </c>
      <c r="D86" s="518" t="s">
        <v>816</v>
      </c>
      <c r="E86" s="948" t="s">
        <v>78</v>
      </c>
      <c r="F86" s="949" t="s">
        <v>78</v>
      </c>
      <c r="G86" s="959" t="s">
        <v>162</v>
      </c>
      <c r="H86" s="519">
        <v>7509.0075800000004</v>
      </c>
      <c r="I86" s="716">
        <v>0</v>
      </c>
      <c r="J86" s="521">
        <v>0</v>
      </c>
      <c r="K86" s="871">
        <v>7509.0075800000004</v>
      </c>
      <c r="L86" s="872">
        <v>7479.0075800000004</v>
      </c>
      <c r="M86" s="873">
        <v>30</v>
      </c>
      <c r="N86" s="874">
        <f t="shared" si="8"/>
        <v>7509.0075800000004</v>
      </c>
      <c r="O86" s="951">
        <v>0</v>
      </c>
      <c r="P86" s="952">
        <v>0</v>
      </c>
      <c r="Q86" s="953">
        <v>0</v>
      </c>
      <c r="R86" s="781">
        <v>0</v>
      </c>
      <c r="S86" s="783">
        <v>0</v>
      </c>
      <c r="T86" s="952">
        <v>0</v>
      </c>
      <c r="U86" s="954">
        <v>0</v>
      </c>
      <c r="V86" s="954">
        <v>0</v>
      </c>
      <c r="W86" s="518" t="s">
        <v>1509</v>
      </c>
      <c r="X86" s="491" t="s">
        <v>48</v>
      </c>
      <c r="Y86" s="786" t="s">
        <v>312</v>
      </c>
      <c r="Z86" s="787" t="s">
        <v>839</v>
      </c>
      <c r="AA86" s="786" t="s">
        <v>839</v>
      </c>
    </row>
    <row r="87" spans="1:27" ht="30" x14ac:dyDescent="0.25">
      <c r="A87" s="77" t="s">
        <v>163</v>
      </c>
      <c r="B87" s="96" t="s">
        <v>797</v>
      </c>
      <c r="C87" s="85">
        <v>2018</v>
      </c>
      <c r="D87" s="5" t="s">
        <v>816</v>
      </c>
      <c r="E87" s="84" t="s">
        <v>78</v>
      </c>
      <c r="F87" s="932" t="s">
        <v>78</v>
      </c>
      <c r="G87" s="302" t="s">
        <v>164</v>
      </c>
      <c r="H87" s="25">
        <v>3453.1888399999998</v>
      </c>
      <c r="I87" s="583">
        <v>800.34458999999993</v>
      </c>
      <c r="J87" s="17">
        <v>2613.18102</v>
      </c>
      <c r="K87" s="299">
        <f>40.11035-0.44712</f>
        <v>39.663229999999999</v>
      </c>
      <c r="L87" s="718">
        <v>2652.8442500000001</v>
      </c>
      <c r="M87" s="259">
        <v>0</v>
      </c>
      <c r="N87" s="250">
        <f t="shared" si="8"/>
        <v>2652.8442500000001</v>
      </c>
      <c r="O87" s="29">
        <v>0</v>
      </c>
      <c r="P87" s="27">
        <v>0</v>
      </c>
      <c r="Q87" s="26">
        <v>0</v>
      </c>
      <c r="R87" s="434">
        <v>0</v>
      </c>
      <c r="S87" s="18">
        <v>0</v>
      </c>
      <c r="T87" s="27">
        <v>0</v>
      </c>
      <c r="U87" s="32">
        <v>0</v>
      </c>
      <c r="V87" s="32">
        <v>0</v>
      </c>
      <c r="W87" s="4" t="s">
        <v>784</v>
      </c>
      <c r="X87" s="55" t="s">
        <v>48</v>
      </c>
      <c r="Y87" s="107" t="s">
        <v>27</v>
      </c>
      <c r="Z87" s="267" t="s">
        <v>839</v>
      </c>
      <c r="AA87" s="107" t="s">
        <v>839</v>
      </c>
    </row>
    <row r="88" spans="1:27" s="717" customFormat="1" ht="30" x14ac:dyDescent="0.25">
      <c r="A88" s="946" t="s">
        <v>165</v>
      </c>
      <c r="B88" s="866" t="s">
        <v>798</v>
      </c>
      <c r="C88" s="947">
        <v>2018</v>
      </c>
      <c r="D88" s="518" t="s">
        <v>816</v>
      </c>
      <c r="E88" s="948" t="s">
        <v>78</v>
      </c>
      <c r="F88" s="949" t="s">
        <v>78</v>
      </c>
      <c r="G88" s="959" t="s">
        <v>166</v>
      </c>
      <c r="H88" s="519">
        <v>6155</v>
      </c>
      <c r="I88" s="716">
        <v>1693.96892</v>
      </c>
      <c r="J88" s="521">
        <v>2395.9220399999999</v>
      </c>
      <c r="K88" s="871">
        <f>500.16+1564.94904</f>
        <v>2065.1090399999998</v>
      </c>
      <c r="L88" s="872">
        <v>3960.8710799999999</v>
      </c>
      <c r="M88" s="873">
        <v>500.16</v>
      </c>
      <c r="N88" s="874">
        <f t="shared" si="8"/>
        <v>4461.0310799999997</v>
      </c>
      <c r="O88" s="951">
        <v>0</v>
      </c>
      <c r="P88" s="952">
        <v>0</v>
      </c>
      <c r="Q88" s="953">
        <v>0</v>
      </c>
      <c r="R88" s="781">
        <v>0</v>
      </c>
      <c r="S88" s="783">
        <v>0</v>
      </c>
      <c r="T88" s="952">
        <v>0</v>
      </c>
      <c r="U88" s="954">
        <v>0</v>
      </c>
      <c r="V88" s="954">
        <v>0</v>
      </c>
      <c r="W88" s="518" t="s">
        <v>1525</v>
      </c>
      <c r="X88" s="491" t="s">
        <v>48</v>
      </c>
      <c r="Y88" s="786" t="s">
        <v>27</v>
      </c>
      <c r="Z88" s="787" t="s">
        <v>839</v>
      </c>
      <c r="AA88" s="786" t="s">
        <v>839</v>
      </c>
    </row>
    <row r="89" spans="1:27" ht="30" x14ac:dyDescent="0.25">
      <c r="A89" s="68" t="s">
        <v>167</v>
      </c>
      <c r="B89" s="88" t="s">
        <v>848</v>
      </c>
      <c r="C89" s="5">
        <v>2018</v>
      </c>
      <c r="D89" s="5" t="s">
        <v>816</v>
      </c>
      <c r="E89" s="69" t="s">
        <v>78</v>
      </c>
      <c r="F89" s="70" t="s">
        <v>78</v>
      </c>
      <c r="G89" s="307" t="s">
        <v>168</v>
      </c>
      <c r="H89" s="17">
        <v>7132.76</v>
      </c>
      <c r="I89" s="13">
        <v>0</v>
      </c>
      <c r="J89" s="17">
        <v>7132.7620999999999</v>
      </c>
      <c r="K89" s="306">
        <v>0</v>
      </c>
      <c r="L89" s="718">
        <v>7132.76</v>
      </c>
      <c r="M89" s="249">
        <v>0</v>
      </c>
      <c r="N89" s="250">
        <f t="shared" si="8"/>
        <v>7132.76</v>
      </c>
      <c r="O89" s="29">
        <v>0</v>
      </c>
      <c r="P89" s="27">
        <v>0</v>
      </c>
      <c r="Q89" s="26">
        <v>0</v>
      </c>
      <c r="R89" s="434">
        <v>0</v>
      </c>
      <c r="S89" s="18">
        <v>0</v>
      </c>
      <c r="T89" s="19">
        <v>0</v>
      </c>
      <c r="U89" s="32">
        <v>0</v>
      </c>
      <c r="V89" s="32">
        <v>0</v>
      </c>
      <c r="W89" s="4" t="s">
        <v>784</v>
      </c>
      <c r="X89" s="55" t="s">
        <v>48</v>
      </c>
      <c r="Y89" s="107" t="s">
        <v>27</v>
      </c>
      <c r="Z89" s="267" t="s">
        <v>839</v>
      </c>
      <c r="AA89" s="107" t="s">
        <v>839</v>
      </c>
    </row>
    <row r="90" spans="1:27" s="710" customFormat="1" ht="26.25" thickBot="1" x14ac:dyDescent="0.3">
      <c r="A90" s="202" t="s">
        <v>169</v>
      </c>
      <c r="B90" s="763" t="s">
        <v>802</v>
      </c>
      <c r="C90" s="194">
        <v>2018</v>
      </c>
      <c r="D90" s="194" t="s">
        <v>816</v>
      </c>
      <c r="E90" s="534" t="s">
        <v>14</v>
      </c>
      <c r="F90" s="203" t="s">
        <v>14</v>
      </c>
      <c r="G90" s="960" t="s">
        <v>170</v>
      </c>
      <c r="H90" s="205">
        <v>0</v>
      </c>
      <c r="I90" s="961">
        <v>0</v>
      </c>
      <c r="J90" s="205">
        <v>0</v>
      </c>
      <c r="K90" s="962">
        <v>0</v>
      </c>
      <c r="L90" s="963">
        <v>0</v>
      </c>
      <c r="M90" s="568">
        <v>0</v>
      </c>
      <c r="N90" s="535">
        <f t="shared" si="8"/>
        <v>0</v>
      </c>
      <c r="O90" s="764">
        <v>0</v>
      </c>
      <c r="P90" s="206">
        <v>0</v>
      </c>
      <c r="Q90" s="207">
        <v>0</v>
      </c>
      <c r="R90" s="815">
        <v>0</v>
      </c>
      <c r="S90" s="536">
        <v>0</v>
      </c>
      <c r="T90" s="509">
        <v>0</v>
      </c>
      <c r="U90" s="569">
        <v>0</v>
      </c>
      <c r="V90" s="764">
        <v>0</v>
      </c>
      <c r="W90" s="194" t="s">
        <v>1415</v>
      </c>
      <c r="X90" s="964" t="s">
        <v>846</v>
      </c>
      <c r="Y90" s="208" t="s">
        <v>312</v>
      </c>
      <c r="Z90" s="537" t="s">
        <v>838</v>
      </c>
      <c r="AA90" s="208" t="s">
        <v>838</v>
      </c>
    </row>
    <row r="91" spans="1:27" ht="25.5" x14ac:dyDescent="0.25">
      <c r="A91" s="115" t="s">
        <v>715</v>
      </c>
      <c r="B91" s="94" t="s">
        <v>802</v>
      </c>
      <c r="C91" s="57">
        <v>2019</v>
      </c>
      <c r="D91" s="5" t="s">
        <v>811</v>
      </c>
      <c r="E91" s="90" t="s">
        <v>82</v>
      </c>
      <c r="F91" s="90" t="s">
        <v>82</v>
      </c>
      <c r="G91" s="757" t="s">
        <v>660</v>
      </c>
      <c r="H91" s="52">
        <v>2000</v>
      </c>
      <c r="I91" s="220">
        <v>0</v>
      </c>
      <c r="J91" s="1">
        <v>0</v>
      </c>
      <c r="K91" s="306">
        <v>0</v>
      </c>
      <c r="L91" s="772">
        <v>0</v>
      </c>
      <c r="M91" s="259">
        <v>0</v>
      </c>
      <c r="N91" s="775">
        <f t="shared" si="8"/>
        <v>0</v>
      </c>
      <c r="O91" s="728">
        <v>0</v>
      </c>
      <c r="P91" s="15">
        <v>0</v>
      </c>
      <c r="Q91" s="14">
        <v>0</v>
      </c>
      <c r="R91" s="433">
        <v>0</v>
      </c>
      <c r="S91" s="102">
        <v>0</v>
      </c>
      <c r="T91" s="15">
        <v>2000</v>
      </c>
      <c r="U91" s="15">
        <v>0</v>
      </c>
      <c r="V91" s="15">
        <v>0</v>
      </c>
      <c r="W91" s="57" t="s">
        <v>784</v>
      </c>
      <c r="X91" s="178" t="s">
        <v>22</v>
      </c>
      <c r="Y91" s="270" t="s">
        <v>731</v>
      </c>
      <c r="Z91" s="270" t="s">
        <v>838</v>
      </c>
      <c r="AA91" s="110" t="s">
        <v>838</v>
      </c>
    </row>
    <row r="92" spans="1:27" s="777" customFormat="1" ht="30" x14ac:dyDescent="0.25">
      <c r="A92" s="1306" t="s">
        <v>716</v>
      </c>
      <c r="B92" s="1043" t="s">
        <v>802</v>
      </c>
      <c r="C92" s="657">
        <v>2019</v>
      </c>
      <c r="D92" s="657" t="s">
        <v>811</v>
      </c>
      <c r="E92" s="1045" t="s">
        <v>78</v>
      </c>
      <c r="F92" s="1045" t="s">
        <v>78</v>
      </c>
      <c r="G92" s="1324" t="s">
        <v>901</v>
      </c>
      <c r="H92" s="813">
        <v>30000</v>
      </c>
      <c r="I92" s="1308">
        <v>0</v>
      </c>
      <c r="J92" s="813">
        <v>0</v>
      </c>
      <c r="K92" s="1325">
        <v>6000</v>
      </c>
      <c r="L92" s="1246">
        <v>0</v>
      </c>
      <c r="M92" s="1052">
        <v>6000</v>
      </c>
      <c r="N92" s="1053">
        <f t="shared" si="8"/>
        <v>6000</v>
      </c>
      <c r="O92" s="1327">
        <v>0</v>
      </c>
      <c r="P92" s="1193">
        <v>0</v>
      </c>
      <c r="Q92" s="1244">
        <v>0</v>
      </c>
      <c r="R92" s="1049">
        <v>0</v>
      </c>
      <c r="S92" s="1051">
        <v>0</v>
      </c>
      <c r="T92" s="1310">
        <v>10000</v>
      </c>
      <c r="U92" s="1310">
        <v>10000</v>
      </c>
      <c r="V92" s="1193">
        <v>4000</v>
      </c>
      <c r="W92" s="1328" t="s">
        <v>1508</v>
      </c>
      <c r="X92" s="657" t="s">
        <v>22</v>
      </c>
      <c r="Y92" s="1197" t="s">
        <v>998</v>
      </c>
      <c r="Z92" s="1061" t="s">
        <v>838</v>
      </c>
      <c r="AA92" s="1062" t="s">
        <v>838</v>
      </c>
    </row>
    <row r="93" spans="1:27" ht="25.5" x14ac:dyDescent="0.25">
      <c r="A93" s="68" t="s">
        <v>717</v>
      </c>
      <c r="B93" s="88" t="s">
        <v>802</v>
      </c>
      <c r="C93" s="5">
        <v>2019</v>
      </c>
      <c r="D93" s="5" t="s">
        <v>811</v>
      </c>
      <c r="E93" s="69" t="s">
        <v>78</v>
      </c>
      <c r="F93" s="69" t="s">
        <v>78</v>
      </c>
      <c r="G93" s="309" t="s">
        <v>661</v>
      </c>
      <c r="H93" s="17">
        <v>2560</v>
      </c>
      <c r="I93" s="184">
        <v>0</v>
      </c>
      <c r="J93" s="17">
        <v>0</v>
      </c>
      <c r="K93" s="300">
        <v>0</v>
      </c>
      <c r="L93" s="308">
        <v>0</v>
      </c>
      <c r="M93" s="249">
        <v>0</v>
      </c>
      <c r="N93" s="250">
        <f t="shared" si="8"/>
        <v>0</v>
      </c>
      <c r="O93" s="185">
        <v>0</v>
      </c>
      <c r="P93" s="3">
        <v>0</v>
      </c>
      <c r="Q93" s="18">
        <v>0</v>
      </c>
      <c r="R93" s="434">
        <v>0</v>
      </c>
      <c r="S93" s="30">
        <v>0</v>
      </c>
      <c r="T93" s="19">
        <v>2560</v>
      </c>
      <c r="U93" s="19">
        <v>0</v>
      </c>
      <c r="V93" s="3">
        <v>0</v>
      </c>
      <c r="W93" s="124" t="s">
        <v>784</v>
      </c>
      <c r="X93" s="5" t="s">
        <v>16</v>
      </c>
      <c r="Y93" s="267" t="s">
        <v>1200</v>
      </c>
      <c r="Z93" s="267" t="s">
        <v>838</v>
      </c>
      <c r="AA93" s="107" t="s">
        <v>838</v>
      </c>
    </row>
    <row r="94" spans="1:27" ht="25.5" x14ac:dyDescent="0.25">
      <c r="A94" s="68" t="s">
        <v>718</v>
      </c>
      <c r="B94" s="88" t="s">
        <v>802</v>
      </c>
      <c r="C94" s="5">
        <v>2019</v>
      </c>
      <c r="D94" s="5" t="s">
        <v>811</v>
      </c>
      <c r="E94" s="69" t="s">
        <v>78</v>
      </c>
      <c r="F94" s="69" t="s">
        <v>78</v>
      </c>
      <c r="G94" s="309" t="s">
        <v>662</v>
      </c>
      <c r="H94" s="17">
        <v>20841.8</v>
      </c>
      <c r="I94" s="184">
        <v>0</v>
      </c>
      <c r="J94" s="17">
        <v>0</v>
      </c>
      <c r="K94" s="300">
        <v>0</v>
      </c>
      <c r="L94" s="308">
        <v>0</v>
      </c>
      <c r="M94" s="249">
        <v>0</v>
      </c>
      <c r="N94" s="250">
        <f t="shared" si="8"/>
        <v>0</v>
      </c>
      <c r="O94" s="185">
        <v>0</v>
      </c>
      <c r="P94" s="3">
        <v>0</v>
      </c>
      <c r="Q94" s="18">
        <v>0</v>
      </c>
      <c r="R94" s="434">
        <v>0</v>
      </c>
      <c r="S94" s="30">
        <v>0</v>
      </c>
      <c r="T94" s="19">
        <v>20841.8</v>
      </c>
      <c r="U94" s="19">
        <v>0</v>
      </c>
      <c r="V94" s="3">
        <v>0</v>
      </c>
      <c r="W94" s="124" t="s">
        <v>784</v>
      </c>
      <c r="X94" s="5" t="s">
        <v>16</v>
      </c>
      <c r="Y94" s="267" t="s">
        <v>892</v>
      </c>
      <c r="Z94" s="267" t="s">
        <v>838</v>
      </c>
      <c r="AA94" s="107" t="s">
        <v>838</v>
      </c>
    </row>
    <row r="95" spans="1:27" s="777" customFormat="1" ht="25.5" x14ac:dyDescent="0.25">
      <c r="A95" s="1306" t="s">
        <v>719</v>
      </c>
      <c r="B95" s="1043" t="s">
        <v>802</v>
      </c>
      <c r="C95" s="657">
        <v>2019</v>
      </c>
      <c r="D95" s="657" t="s">
        <v>811</v>
      </c>
      <c r="E95" s="1045" t="s">
        <v>78</v>
      </c>
      <c r="F95" s="1045" t="s">
        <v>78</v>
      </c>
      <c r="G95" s="1329" t="s">
        <v>663</v>
      </c>
      <c r="H95" s="813">
        <v>10000</v>
      </c>
      <c r="I95" s="1308">
        <v>0</v>
      </c>
      <c r="J95" s="813">
        <v>0</v>
      </c>
      <c r="K95" s="1325">
        <v>10000</v>
      </c>
      <c r="L95" s="1246">
        <v>0</v>
      </c>
      <c r="M95" s="1052">
        <v>10000</v>
      </c>
      <c r="N95" s="1053">
        <f t="shared" si="8"/>
        <v>10000</v>
      </c>
      <c r="O95" s="1327">
        <v>0</v>
      </c>
      <c r="P95" s="1193">
        <v>0</v>
      </c>
      <c r="Q95" s="1244">
        <v>0</v>
      </c>
      <c r="R95" s="1049">
        <v>0</v>
      </c>
      <c r="S95" s="1051">
        <v>0</v>
      </c>
      <c r="T95" s="1310">
        <v>0</v>
      </c>
      <c r="U95" s="1310">
        <v>0</v>
      </c>
      <c r="V95" s="1193">
        <v>0</v>
      </c>
      <c r="W95" s="1328" t="s">
        <v>1416</v>
      </c>
      <c r="X95" s="657" t="s">
        <v>16</v>
      </c>
      <c r="Y95" s="1061" t="s">
        <v>312</v>
      </c>
      <c r="Z95" s="1061" t="s">
        <v>838</v>
      </c>
      <c r="AA95" s="1062" t="s">
        <v>838</v>
      </c>
    </row>
    <row r="96" spans="1:27" ht="25.5" x14ac:dyDescent="0.25">
      <c r="A96" s="68" t="s">
        <v>720</v>
      </c>
      <c r="B96" s="88" t="s">
        <v>802</v>
      </c>
      <c r="C96" s="5">
        <v>2019</v>
      </c>
      <c r="D96" s="5" t="s">
        <v>811</v>
      </c>
      <c r="E96" s="69" t="s">
        <v>78</v>
      </c>
      <c r="F96" s="69" t="s">
        <v>78</v>
      </c>
      <c r="G96" s="309" t="s">
        <v>664</v>
      </c>
      <c r="H96" s="17">
        <v>706</v>
      </c>
      <c r="I96" s="184">
        <v>0</v>
      </c>
      <c r="J96" s="17">
        <v>0</v>
      </c>
      <c r="K96" s="300">
        <v>0</v>
      </c>
      <c r="L96" s="308">
        <v>0</v>
      </c>
      <c r="M96" s="249">
        <v>0</v>
      </c>
      <c r="N96" s="250">
        <f t="shared" si="8"/>
        <v>0</v>
      </c>
      <c r="O96" s="186">
        <v>0</v>
      </c>
      <c r="P96" s="3">
        <v>0</v>
      </c>
      <c r="Q96" s="18">
        <v>0</v>
      </c>
      <c r="R96" s="434">
        <v>0</v>
      </c>
      <c r="S96" s="18">
        <v>0</v>
      </c>
      <c r="T96" s="19">
        <v>706</v>
      </c>
      <c r="U96" s="19">
        <v>0</v>
      </c>
      <c r="V96" s="3">
        <v>0</v>
      </c>
      <c r="W96" s="124" t="s">
        <v>784</v>
      </c>
      <c r="X96" s="5" t="s">
        <v>16</v>
      </c>
      <c r="Y96" s="267" t="s">
        <v>892</v>
      </c>
      <c r="Z96" s="267" t="s">
        <v>838</v>
      </c>
      <c r="AA96" s="107" t="s">
        <v>838</v>
      </c>
    </row>
    <row r="97" spans="1:27" ht="25.5" x14ac:dyDescent="0.25">
      <c r="A97" s="65" t="s">
        <v>721</v>
      </c>
      <c r="B97" s="120" t="s">
        <v>802</v>
      </c>
      <c r="C97" s="4">
        <v>2019</v>
      </c>
      <c r="D97" s="5" t="s">
        <v>811</v>
      </c>
      <c r="E97" s="66" t="s">
        <v>78</v>
      </c>
      <c r="F97" s="66" t="s">
        <v>78</v>
      </c>
      <c r="G97" s="310" t="s">
        <v>665</v>
      </c>
      <c r="H97" s="1">
        <v>7500</v>
      </c>
      <c r="I97" s="298">
        <v>0</v>
      </c>
      <c r="J97" s="17">
        <v>0</v>
      </c>
      <c r="K97" s="179">
        <v>7500</v>
      </c>
      <c r="L97" s="632">
        <v>7500</v>
      </c>
      <c r="M97" s="249">
        <v>0</v>
      </c>
      <c r="N97" s="256">
        <f t="shared" si="8"/>
        <v>7500</v>
      </c>
      <c r="O97" s="185">
        <v>0</v>
      </c>
      <c r="P97" s="3">
        <v>0</v>
      </c>
      <c r="Q97" s="2">
        <v>0</v>
      </c>
      <c r="R97" s="434">
        <v>0</v>
      </c>
      <c r="S97" s="18">
        <v>0</v>
      </c>
      <c r="T97" s="3">
        <v>0</v>
      </c>
      <c r="U97" s="3">
        <v>0</v>
      </c>
      <c r="V97" s="3">
        <v>0</v>
      </c>
      <c r="W97" s="5" t="s">
        <v>784</v>
      </c>
      <c r="X97" s="4" t="s">
        <v>48</v>
      </c>
      <c r="Y97" s="266" t="s">
        <v>27</v>
      </c>
      <c r="Z97" s="267" t="s">
        <v>839</v>
      </c>
      <c r="AA97" s="107" t="s">
        <v>839</v>
      </c>
    </row>
    <row r="98" spans="1:27" s="705" customFormat="1" ht="25.5" x14ac:dyDescent="0.25">
      <c r="A98" s="1486" t="s">
        <v>722</v>
      </c>
      <c r="B98" s="1487" t="s">
        <v>802</v>
      </c>
      <c r="C98" s="683">
        <v>2019</v>
      </c>
      <c r="D98" s="683" t="s">
        <v>811</v>
      </c>
      <c r="E98" s="1488" t="s">
        <v>78</v>
      </c>
      <c r="F98" s="1488" t="s">
        <v>78</v>
      </c>
      <c r="G98" s="1489" t="s">
        <v>666</v>
      </c>
      <c r="H98" s="1409">
        <v>5821</v>
      </c>
      <c r="I98" s="1490">
        <v>0</v>
      </c>
      <c r="J98" s="1409">
        <v>0</v>
      </c>
      <c r="K98" s="1491">
        <v>5821</v>
      </c>
      <c r="L98" s="1492">
        <v>0</v>
      </c>
      <c r="M98" s="1326">
        <v>5821</v>
      </c>
      <c r="N98" s="1340">
        <f t="shared" si="8"/>
        <v>5821</v>
      </c>
      <c r="O98" s="1352">
        <v>0</v>
      </c>
      <c r="P98" s="1353">
        <v>0</v>
      </c>
      <c r="Q98" s="1345">
        <v>0</v>
      </c>
      <c r="R98" s="1344">
        <v>0</v>
      </c>
      <c r="S98" s="1345">
        <v>0</v>
      </c>
      <c r="T98" s="1339">
        <v>0</v>
      </c>
      <c r="U98" s="1339">
        <v>0</v>
      </c>
      <c r="V98" s="1353">
        <v>0</v>
      </c>
      <c r="W98" s="683" t="s">
        <v>1539</v>
      </c>
      <c r="X98" s="683" t="s">
        <v>16</v>
      </c>
      <c r="Y98" s="1348" t="s">
        <v>892</v>
      </c>
      <c r="Z98" s="1348" t="s">
        <v>838</v>
      </c>
      <c r="AA98" s="1347" t="s">
        <v>838</v>
      </c>
    </row>
    <row r="99" spans="1:27" ht="25.5" x14ac:dyDescent="0.25">
      <c r="A99" s="68" t="s">
        <v>723</v>
      </c>
      <c r="B99" s="88" t="s">
        <v>802</v>
      </c>
      <c r="C99" s="5">
        <v>2019</v>
      </c>
      <c r="D99" s="5" t="s">
        <v>811</v>
      </c>
      <c r="E99" s="87" t="s">
        <v>78</v>
      </c>
      <c r="F99" s="87" t="s">
        <v>78</v>
      </c>
      <c r="G99" s="301" t="s">
        <v>667</v>
      </c>
      <c r="H99" s="6">
        <v>13310</v>
      </c>
      <c r="I99" s="184">
        <v>0</v>
      </c>
      <c r="J99" s="17">
        <v>0</v>
      </c>
      <c r="K99" s="300">
        <v>0</v>
      </c>
      <c r="L99" s="308">
        <v>0</v>
      </c>
      <c r="M99" s="249">
        <v>0</v>
      </c>
      <c r="N99" s="257">
        <f t="shared" si="8"/>
        <v>0</v>
      </c>
      <c r="O99" s="185">
        <v>0</v>
      </c>
      <c r="P99" s="3">
        <v>0</v>
      </c>
      <c r="Q99" s="18">
        <v>0</v>
      </c>
      <c r="R99" s="434">
        <v>0</v>
      </c>
      <c r="S99" s="18">
        <v>0</v>
      </c>
      <c r="T99" s="19">
        <v>13310</v>
      </c>
      <c r="U99" s="19">
        <v>0</v>
      </c>
      <c r="V99" s="3">
        <v>0</v>
      </c>
      <c r="W99" s="124" t="s">
        <v>784</v>
      </c>
      <c r="X99" s="5" t="s">
        <v>16</v>
      </c>
      <c r="Y99" s="267" t="s">
        <v>892</v>
      </c>
      <c r="Z99" s="267" t="s">
        <v>838</v>
      </c>
      <c r="AA99" s="107" t="s">
        <v>838</v>
      </c>
    </row>
    <row r="100" spans="1:27" ht="25.5" x14ac:dyDescent="0.25">
      <c r="A100" s="1306" t="s">
        <v>724</v>
      </c>
      <c r="B100" s="1043" t="s">
        <v>802</v>
      </c>
      <c r="C100" s="657">
        <v>2019</v>
      </c>
      <c r="D100" s="657" t="s">
        <v>811</v>
      </c>
      <c r="E100" s="1045" t="s">
        <v>78</v>
      </c>
      <c r="F100" s="1045" t="s">
        <v>78</v>
      </c>
      <c r="G100" s="1329" t="s">
        <v>668</v>
      </c>
      <c r="H100" s="813">
        <v>7500</v>
      </c>
      <c r="I100" s="1308">
        <v>0</v>
      </c>
      <c r="J100" s="813">
        <v>0</v>
      </c>
      <c r="K100" s="1325">
        <v>7500</v>
      </c>
      <c r="L100" s="1246">
        <v>0</v>
      </c>
      <c r="M100" s="1052">
        <v>7500</v>
      </c>
      <c r="N100" s="1053">
        <f t="shared" si="8"/>
        <v>7500</v>
      </c>
      <c r="O100" s="1327">
        <v>0</v>
      </c>
      <c r="P100" s="1193">
        <v>0</v>
      </c>
      <c r="Q100" s="1244">
        <v>0</v>
      </c>
      <c r="R100" s="1049">
        <v>0</v>
      </c>
      <c r="S100" s="1244">
        <v>0</v>
      </c>
      <c r="T100" s="1310">
        <v>0</v>
      </c>
      <c r="U100" s="1310">
        <v>0</v>
      </c>
      <c r="V100" s="1193">
        <v>0</v>
      </c>
      <c r="W100" s="1328" t="s">
        <v>1416</v>
      </c>
      <c r="X100" s="657" t="s">
        <v>16</v>
      </c>
      <c r="Y100" s="1061" t="s">
        <v>892</v>
      </c>
      <c r="Z100" s="1061" t="s">
        <v>838</v>
      </c>
      <c r="AA100" s="1062" t="s">
        <v>838</v>
      </c>
    </row>
    <row r="101" spans="1:27" ht="25.5" x14ac:dyDescent="0.25">
      <c r="A101" s="68" t="s">
        <v>725</v>
      </c>
      <c r="B101" s="88" t="s">
        <v>802</v>
      </c>
      <c r="C101" s="5">
        <v>2019</v>
      </c>
      <c r="D101" s="5" t="s">
        <v>811</v>
      </c>
      <c r="E101" s="69" t="s">
        <v>78</v>
      </c>
      <c r="F101" s="69" t="s">
        <v>78</v>
      </c>
      <c r="G101" s="309" t="s">
        <v>669</v>
      </c>
      <c r="H101" s="17">
        <v>9630.5135499999997</v>
      </c>
      <c r="I101" s="184">
        <v>0</v>
      </c>
      <c r="J101" s="17">
        <v>0</v>
      </c>
      <c r="K101" s="300">
        <v>0</v>
      </c>
      <c r="L101" s="308">
        <v>0</v>
      </c>
      <c r="M101" s="249">
        <v>0</v>
      </c>
      <c r="N101" s="250">
        <f t="shared" si="8"/>
        <v>0</v>
      </c>
      <c r="O101" s="185">
        <v>0</v>
      </c>
      <c r="P101" s="3">
        <v>0</v>
      </c>
      <c r="Q101" s="18">
        <v>0</v>
      </c>
      <c r="R101" s="434">
        <v>0</v>
      </c>
      <c r="S101" s="18">
        <v>0</v>
      </c>
      <c r="T101" s="19">
        <v>9630.5135499999997</v>
      </c>
      <c r="U101" s="19">
        <v>0</v>
      </c>
      <c r="V101" s="19">
        <v>0</v>
      </c>
      <c r="W101" s="124" t="s">
        <v>784</v>
      </c>
      <c r="X101" s="5" t="s">
        <v>48</v>
      </c>
      <c r="Y101" s="267" t="s">
        <v>892</v>
      </c>
      <c r="Z101" s="267" t="s">
        <v>839</v>
      </c>
      <c r="AA101" s="107" t="s">
        <v>838</v>
      </c>
    </row>
    <row r="102" spans="1:27" ht="25.5" x14ac:dyDescent="0.25">
      <c r="A102" s="68" t="s">
        <v>726</v>
      </c>
      <c r="B102" s="88" t="s">
        <v>802</v>
      </c>
      <c r="C102" s="5">
        <v>2019</v>
      </c>
      <c r="D102" s="5" t="s">
        <v>811</v>
      </c>
      <c r="E102" s="69" t="s">
        <v>78</v>
      </c>
      <c r="F102" s="69" t="s">
        <v>78</v>
      </c>
      <c r="G102" s="309" t="s">
        <v>670</v>
      </c>
      <c r="H102" s="17">
        <v>14450</v>
      </c>
      <c r="I102" s="184">
        <v>0</v>
      </c>
      <c r="J102" s="17">
        <v>0</v>
      </c>
      <c r="K102" s="300">
        <v>14450</v>
      </c>
      <c r="L102" s="308">
        <v>14450</v>
      </c>
      <c r="M102" s="249">
        <v>0</v>
      </c>
      <c r="N102" s="250">
        <f t="shared" si="8"/>
        <v>14450</v>
      </c>
      <c r="O102" s="185">
        <v>0</v>
      </c>
      <c r="P102" s="3">
        <v>0</v>
      </c>
      <c r="Q102" s="18">
        <v>0</v>
      </c>
      <c r="R102" s="434">
        <v>0</v>
      </c>
      <c r="S102" s="18">
        <v>0</v>
      </c>
      <c r="T102" s="19">
        <v>0</v>
      </c>
      <c r="U102" s="19">
        <v>0</v>
      </c>
      <c r="V102" s="19">
        <v>0</v>
      </c>
      <c r="W102" s="5" t="s">
        <v>784</v>
      </c>
      <c r="X102" s="5" t="s">
        <v>48</v>
      </c>
      <c r="Y102" s="107" t="s">
        <v>571</v>
      </c>
      <c r="Z102" s="267" t="s">
        <v>839</v>
      </c>
      <c r="AA102" s="107" t="s">
        <v>839</v>
      </c>
    </row>
    <row r="103" spans="1:27" ht="25.5" x14ac:dyDescent="0.25">
      <c r="A103" s="68" t="s">
        <v>727</v>
      </c>
      <c r="B103" s="88" t="s">
        <v>802</v>
      </c>
      <c r="C103" s="5">
        <v>2019</v>
      </c>
      <c r="D103" s="5" t="s">
        <v>811</v>
      </c>
      <c r="E103" s="69" t="s">
        <v>78</v>
      </c>
      <c r="F103" s="69" t="s">
        <v>78</v>
      </c>
      <c r="G103" s="309" t="s">
        <v>671</v>
      </c>
      <c r="H103" s="17">
        <v>10599.735420000001</v>
      </c>
      <c r="I103" s="184">
        <v>0</v>
      </c>
      <c r="J103" s="17">
        <v>0</v>
      </c>
      <c r="K103" s="300">
        <v>0</v>
      </c>
      <c r="L103" s="308">
        <v>0</v>
      </c>
      <c r="M103" s="249">
        <v>0</v>
      </c>
      <c r="N103" s="250">
        <f t="shared" si="8"/>
        <v>0</v>
      </c>
      <c r="O103" s="186">
        <v>0</v>
      </c>
      <c r="P103" s="3">
        <v>0</v>
      </c>
      <c r="Q103" s="18">
        <v>0</v>
      </c>
      <c r="R103" s="434">
        <v>0</v>
      </c>
      <c r="S103" s="18">
        <v>0</v>
      </c>
      <c r="T103" s="19">
        <v>10599.735420000001</v>
      </c>
      <c r="U103" s="19">
        <v>0</v>
      </c>
      <c r="V103" s="19">
        <v>0</v>
      </c>
      <c r="W103" s="124" t="s">
        <v>784</v>
      </c>
      <c r="X103" s="5" t="s">
        <v>48</v>
      </c>
      <c r="Y103" s="267" t="s">
        <v>892</v>
      </c>
      <c r="Z103" s="267" t="s">
        <v>839</v>
      </c>
      <c r="AA103" s="107" t="s">
        <v>838</v>
      </c>
    </row>
    <row r="104" spans="1:27" s="705" customFormat="1" ht="25.5" x14ac:dyDescent="0.25">
      <c r="A104" s="1486" t="s">
        <v>728</v>
      </c>
      <c r="B104" s="1487" t="s">
        <v>802</v>
      </c>
      <c r="C104" s="683">
        <v>2019</v>
      </c>
      <c r="D104" s="683" t="s">
        <v>811</v>
      </c>
      <c r="E104" s="1488" t="s">
        <v>78</v>
      </c>
      <c r="F104" s="1488" t="s">
        <v>78</v>
      </c>
      <c r="G104" s="1489" t="s">
        <v>672</v>
      </c>
      <c r="H104" s="1409">
        <v>6630</v>
      </c>
      <c r="I104" s="1490">
        <v>0</v>
      </c>
      <c r="J104" s="1409">
        <v>0</v>
      </c>
      <c r="K104" s="1491">
        <v>6630</v>
      </c>
      <c r="L104" s="1492">
        <v>0</v>
      </c>
      <c r="M104" s="1326">
        <v>6630</v>
      </c>
      <c r="N104" s="1340">
        <f t="shared" si="8"/>
        <v>6630</v>
      </c>
      <c r="O104" s="1352">
        <v>0</v>
      </c>
      <c r="P104" s="1353">
        <v>0</v>
      </c>
      <c r="Q104" s="1345">
        <v>0</v>
      </c>
      <c r="R104" s="1049">
        <v>0</v>
      </c>
      <c r="S104" s="1244">
        <v>0</v>
      </c>
      <c r="T104" s="1339">
        <v>0</v>
      </c>
      <c r="U104" s="1339">
        <v>0</v>
      </c>
      <c r="V104" s="1339">
        <v>0</v>
      </c>
      <c r="W104" s="1355" t="s">
        <v>1507</v>
      </c>
      <c r="X104" s="683" t="s">
        <v>48</v>
      </c>
      <c r="Y104" s="1347" t="s">
        <v>870</v>
      </c>
      <c r="Z104" s="1348" t="s">
        <v>839</v>
      </c>
      <c r="AA104" s="1347" t="s">
        <v>839</v>
      </c>
    </row>
    <row r="105" spans="1:27" ht="30" x14ac:dyDescent="0.25">
      <c r="A105" s="778" t="s">
        <v>729</v>
      </c>
      <c r="B105" s="779" t="s">
        <v>802</v>
      </c>
      <c r="C105" s="518">
        <v>2019</v>
      </c>
      <c r="D105" s="518" t="s">
        <v>811</v>
      </c>
      <c r="E105" s="780" t="s">
        <v>78</v>
      </c>
      <c r="F105" s="780" t="s">
        <v>78</v>
      </c>
      <c r="G105" s="805" t="s">
        <v>673</v>
      </c>
      <c r="H105" s="521">
        <v>60080</v>
      </c>
      <c r="I105" s="965">
        <v>0</v>
      </c>
      <c r="J105" s="521">
        <v>0</v>
      </c>
      <c r="K105" s="966">
        <v>0</v>
      </c>
      <c r="L105" s="967">
        <v>0</v>
      </c>
      <c r="M105" s="873">
        <v>0</v>
      </c>
      <c r="N105" s="874">
        <f t="shared" si="8"/>
        <v>0</v>
      </c>
      <c r="O105" s="968">
        <v>0</v>
      </c>
      <c r="P105" s="833">
        <v>0</v>
      </c>
      <c r="Q105" s="783">
        <v>0</v>
      </c>
      <c r="R105" s="434">
        <v>0</v>
      </c>
      <c r="S105" s="18">
        <v>0</v>
      </c>
      <c r="T105" s="785">
        <v>0</v>
      </c>
      <c r="U105" s="875">
        <v>60080</v>
      </c>
      <c r="V105" s="785">
        <v>0</v>
      </c>
      <c r="W105" s="496" t="s">
        <v>1506</v>
      </c>
      <c r="X105" s="518" t="s">
        <v>16</v>
      </c>
      <c r="Y105" s="787" t="s">
        <v>27</v>
      </c>
      <c r="Z105" s="787" t="s">
        <v>838</v>
      </c>
      <c r="AA105" s="786" t="s">
        <v>838</v>
      </c>
    </row>
    <row r="106" spans="1:27" ht="26.25" thickBot="1" x14ac:dyDescent="0.3">
      <c r="A106" s="137" t="s">
        <v>730</v>
      </c>
      <c r="B106" s="139" t="s">
        <v>802</v>
      </c>
      <c r="C106" s="138">
        <v>2019</v>
      </c>
      <c r="D106" s="138" t="s">
        <v>811</v>
      </c>
      <c r="E106" s="89" t="s">
        <v>78</v>
      </c>
      <c r="F106" s="89" t="s">
        <v>78</v>
      </c>
      <c r="G106" s="303" t="s">
        <v>674</v>
      </c>
      <c r="H106" s="48">
        <v>11042.24756</v>
      </c>
      <c r="I106" s="304">
        <v>0</v>
      </c>
      <c r="J106" s="48">
        <v>0</v>
      </c>
      <c r="K106" s="753">
        <v>11042.24756</v>
      </c>
      <c r="L106" s="773">
        <v>11042.24756</v>
      </c>
      <c r="M106" s="258">
        <v>0</v>
      </c>
      <c r="N106" s="628">
        <f t="shared" si="8"/>
        <v>11042.24756</v>
      </c>
      <c r="O106" s="624">
        <v>0</v>
      </c>
      <c r="P106" s="51">
        <v>0</v>
      </c>
      <c r="Q106" s="49">
        <v>0</v>
      </c>
      <c r="R106" s="565">
        <v>0</v>
      </c>
      <c r="S106" s="49">
        <v>0</v>
      </c>
      <c r="T106" s="51">
        <v>0</v>
      </c>
      <c r="U106" s="51">
        <v>0</v>
      </c>
      <c r="V106" s="51">
        <v>0</v>
      </c>
      <c r="W106" s="138" t="s">
        <v>784</v>
      </c>
      <c r="X106" s="138" t="s">
        <v>48</v>
      </c>
      <c r="Y106" s="141" t="s">
        <v>312</v>
      </c>
      <c r="Z106" s="268" t="s">
        <v>839</v>
      </c>
      <c r="AA106" s="141" t="s">
        <v>839</v>
      </c>
    </row>
    <row r="107" spans="1:27" ht="25.5" x14ac:dyDescent="0.25">
      <c r="A107" s="65" t="s">
        <v>849</v>
      </c>
      <c r="B107" s="120" t="s">
        <v>802</v>
      </c>
      <c r="C107" s="4">
        <v>2019</v>
      </c>
      <c r="D107" s="5" t="s">
        <v>936</v>
      </c>
      <c r="E107" s="66" t="s">
        <v>82</v>
      </c>
      <c r="F107" s="90" t="s">
        <v>82</v>
      </c>
      <c r="G107" s="310" t="s">
        <v>850</v>
      </c>
      <c r="H107" s="1">
        <v>500</v>
      </c>
      <c r="I107" s="221">
        <v>0</v>
      </c>
      <c r="J107" s="1">
        <v>0</v>
      </c>
      <c r="K107" s="2035">
        <v>500</v>
      </c>
      <c r="L107" s="772">
        <v>500</v>
      </c>
      <c r="M107" s="247">
        <v>0</v>
      </c>
      <c r="N107" s="256">
        <f t="shared" si="8"/>
        <v>500</v>
      </c>
      <c r="O107" s="28">
        <v>0</v>
      </c>
      <c r="P107" s="3">
        <v>0</v>
      </c>
      <c r="Q107" s="2">
        <v>0</v>
      </c>
      <c r="R107" s="748">
        <v>0</v>
      </c>
      <c r="S107" s="2">
        <v>0</v>
      </c>
      <c r="T107" s="3">
        <v>0</v>
      </c>
      <c r="U107" s="3">
        <v>0</v>
      </c>
      <c r="V107" s="3">
        <v>0</v>
      </c>
      <c r="W107" s="311" t="s">
        <v>784</v>
      </c>
      <c r="X107" s="4" t="s">
        <v>16</v>
      </c>
      <c r="Y107" s="391" t="s">
        <v>571</v>
      </c>
      <c r="Z107" s="266" t="s">
        <v>838</v>
      </c>
      <c r="AA107" s="110" t="s">
        <v>838</v>
      </c>
    </row>
    <row r="108" spans="1:27" s="710" customFormat="1" ht="25.5" x14ac:dyDescent="0.25">
      <c r="A108" s="140" t="s">
        <v>902</v>
      </c>
      <c r="B108" s="119" t="s">
        <v>1151</v>
      </c>
      <c r="C108" s="72">
        <v>2019</v>
      </c>
      <c r="D108" s="72" t="s">
        <v>936</v>
      </c>
      <c r="E108" s="73" t="s">
        <v>78</v>
      </c>
      <c r="F108" s="73" t="s">
        <v>78</v>
      </c>
      <c r="G108" s="2033" t="s">
        <v>903</v>
      </c>
      <c r="H108" s="22">
        <v>1</v>
      </c>
      <c r="I108" s="522">
        <v>0</v>
      </c>
      <c r="J108" s="22">
        <v>1</v>
      </c>
      <c r="K108" s="711">
        <v>0</v>
      </c>
      <c r="L108" s="712">
        <v>1</v>
      </c>
      <c r="M108" s="539">
        <v>0</v>
      </c>
      <c r="N108" s="312">
        <f t="shared" si="8"/>
        <v>1</v>
      </c>
      <c r="O108" s="40">
        <v>0</v>
      </c>
      <c r="P108" s="24">
        <v>0</v>
      </c>
      <c r="Q108" s="23">
        <v>0</v>
      </c>
      <c r="R108" s="456">
        <v>0</v>
      </c>
      <c r="S108" s="23">
        <v>0</v>
      </c>
      <c r="T108" s="24">
        <v>0</v>
      </c>
      <c r="U108" s="24">
        <v>0</v>
      </c>
      <c r="V108" s="24">
        <v>0</v>
      </c>
      <c r="W108" s="72" t="s">
        <v>910</v>
      </c>
      <c r="X108" s="72" t="s">
        <v>877</v>
      </c>
      <c r="Y108" s="2034" t="s">
        <v>573</v>
      </c>
      <c r="Z108" s="315" t="s">
        <v>839</v>
      </c>
      <c r="AA108" s="71" t="s">
        <v>839</v>
      </c>
    </row>
    <row r="109" spans="1:27" ht="25.5" x14ac:dyDescent="0.25">
      <c r="A109" s="65" t="s">
        <v>1233</v>
      </c>
      <c r="B109" s="120" t="s">
        <v>802</v>
      </c>
      <c r="C109" s="4">
        <v>2019</v>
      </c>
      <c r="D109" s="4" t="s">
        <v>1256</v>
      </c>
      <c r="E109" s="66" t="s">
        <v>78</v>
      </c>
      <c r="F109" s="66" t="s">
        <v>78</v>
      </c>
      <c r="G109" s="2030" t="s">
        <v>1201</v>
      </c>
      <c r="H109" s="221">
        <v>16179.99999</v>
      </c>
      <c r="I109" s="221">
        <v>0</v>
      </c>
      <c r="J109" s="1">
        <v>0</v>
      </c>
      <c r="K109" s="325">
        <v>0</v>
      </c>
      <c r="L109" s="632">
        <v>0</v>
      </c>
      <c r="M109" s="2031">
        <v>0</v>
      </c>
      <c r="N109" s="2026">
        <f t="shared" ref="N109:N173" si="9">L109+M109</f>
        <v>0</v>
      </c>
      <c r="O109" s="28">
        <v>0</v>
      </c>
      <c r="P109" s="3">
        <v>0</v>
      </c>
      <c r="Q109" s="28">
        <v>0</v>
      </c>
      <c r="R109" s="748">
        <v>0</v>
      </c>
      <c r="S109" s="2">
        <v>0</v>
      </c>
      <c r="T109" s="2032">
        <v>6000</v>
      </c>
      <c r="U109" s="3">
        <v>10179.99999</v>
      </c>
      <c r="V109" s="28">
        <v>0</v>
      </c>
      <c r="W109" s="145" t="s">
        <v>784</v>
      </c>
      <c r="X109" s="4" t="s">
        <v>22</v>
      </c>
      <c r="Y109" s="391" t="s">
        <v>1200</v>
      </c>
      <c r="Z109" s="266" t="s">
        <v>838</v>
      </c>
      <c r="AA109" s="109" t="s">
        <v>838</v>
      </c>
    </row>
    <row r="110" spans="1:27" ht="25.5" x14ac:dyDescent="0.25">
      <c r="A110" s="68" t="s">
        <v>1234</v>
      </c>
      <c r="B110" s="88" t="s">
        <v>802</v>
      </c>
      <c r="C110" s="5">
        <v>2019</v>
      </c>
      <c r="D110" s="4" t="s">
        <v>1256</v>
      </c>
      <c r="E110" s="69" t="s">
        <v>78</v>
      </c>
      <c r="F110" s="69" t="s">
        <v>78</v>
      </c>
      <c r="G110" s="834" t="s">
        <v>1202</v>
      </c>
      <c r="H110" s="13">
        <v>33844.945160000003</v>
      </c>
      <c r="I110" s="13">
        <v>0</v>
      </c>
      <c r="J110" s="17">
        <v>0</v>
      </c>
      <c r="K110" s="334">
        <v>0</v>
      </c>
      <c r="L110" s="308">
        <v>0</v>
      </c>
      <c r="M110" s="969">
        <v>0</v>
      </c>
      <c r="N110" s="651">
        <f t="shared" si="9"/>
        <v>0</v>
      </c>
      <c r="O110" s="30">
        <v>0</v>
      </c>
      <c r="P110" s="19">
        <v>0</v>
      </c>
      <c r="Q110" s="30">
        <v>0</v>
      </c>
      <c r="R110" s="434">
        <v>0</v>
      </c>
      <c r="S110" s="18">
        <v>0</v>
      </c>
      <c r="T110" s="927">
        <v>33844.945160000003</v>
      </c>
      <c r="U110" s="19">
        <v>0</v>
      </c>
      <c r="V110" s="30">
        <v>0</v>
      </c>
      <c r="W110" s="143" t="s">
        <v>784</v>
      </c>
      <c r="X110" s="5" t="s">
        <v>48</v>
      </c>
      <c r="Y110" s="392" t="s">
        <v>892</v>
      </c>
      <c r="Z110" s="267" t="s">
        <v>839</v>
      </c>
      <c r="AA110" s="107" t="s">
        <v>838</v>
      </c>
    </row>
    <row r="111" spans="1:27" ht="25.5" x14ac:dyDescent="0.25">
      <c r="A111" s="68" t="s">
        <v>1235</v>
      </c>
      <c r="B111" s="88" t="s">
        <v>802</v>
      </c>
      <c r="C111" s="5">
        <v>2019</v>
      </c>
      <c r="D111" s="4" t="s">
        <v>1256</v>
      </c>
      <c r="E111" s="69" t="s">
        <v>78</v>
      </c>
      <c r="F111" s="69" t="s">
        <v>78</v>
      </c>
      <c r="G111" s="834" t="s">
        <v>1203</v>
      </c>
      <c r="H111" s="13">
        <v>23489.143230000001</v>
      </c>
      <c r="I111" s="13">
        <v>0</v>
      </c>
      <c r="J111" s="17">
        <v>0</v>
      </c>
      <c r="K111" s="334">
        <v>0</v>
      </c>
      <c r="L111" s="308">
        <v>0</v>
      </c>
      <c r="M111" s="969">
        <v>0</v>
      </c>
      <c r="N111" s="651">
        <f t="shared" si="9"/>
        <v>0</v>
      </c>
      <c r="O111" s="30">
        <v>0</v>
      </c>
      <c r="P111" s="19">
        <v>0</v>
      </c>
      <c r="Q111" s="30">
        <v>0</v>
      </c>
      <c r="R111" s="434">
        <v>0</v>
      </c>
      <c r="S111" s="18">
        <v>0</v>
      </c>
      <c r="T111" s="927">
        <v>23489.143230000001</v>
      </c>
      <c r="U111" s="19">
        <v>0</v>
      </c>
      <c r="V111" s="30">
        <v>0</v>
      </c>
      <c r="W111" s="143" t="s">
        <v>784</v>
      </c>
      <c r="X111" s="5" t="s">
        <v>48</v>
      </c>
      <c r="Y111" s="392" t="s">
        <v>892</v>
      </c>
      <c r="Z111" s="267" t="s">
        <v>839</v>
      </c>
      <c r="AA111" s="107" t="s">
        <v>838</v>
      </c>
    </row>
    <row r="112" spans="1:27" ht="45" x14ac:dyDescent="0.25">
      <c r="A112" s="68" t="s">
        <v>1236</v>
      </c>
      <c r="B112" s="88" t="s">
        <v>802</v>
      </c>
      <c r="C112" s="5">
        <v>2019</v>
      </c>
      <c r="D112" s="4" t="s">
        <v>1256</v>
      </c>
      <c r="E112" s="69" t="s">
        <v>78</v>
      </c>
      <c r="F112" s="69" t="s">
        <v>78</v>
      </c>
      <c r="G112" s="834" t="s">
        <v>1204</v>
      </c>
      <c r="H112" s="13">
        <v>12000</v>
      </c>
      <c r="I112" s="13">
        <v>0</v>
      </c>
      <c r="J112" s="17">
        <v>0</v>
      </c>
      <c r="K112" s="334">
        <v>0</v>
      </c>
      <c r="L112" s="308">
        <v>0</v>
      </c>
      <c r="M112" s="969">
        <v>0</v>
      </c>
      <c r="N112" s="651">
        <f t="shared" si="9"/>
        <v>0</v>
      </c>
      <c r="O112" s="30">
        <v>0</v>
      </c>
      <c r="P112" s="19">
        <v>0</v>
      </c>
      <c r="Q112" s="30">
        <v>0</v>
      </c>
      <c r="R112" s="434">
        <v>0</v>
      </c>
      <c r="S112" s="18">
        <v>0</v>
      </c>
      <c r="T112" s="927">
        <v>5000</v>
      </c>
      <c r="U112" s="19">
        <v>7000</v>
      </c>
      <c r="V112" s="30">
        <v>0</v>
      </c>
      <c r="W112" s="143" t="s">
        <v>784</v>
      </c>
      <c r="X112" s="5" t="s">
        <v>22</v>
      </c>
      <c r="Y112" s="392" t="s">
        <v>892</v>
      </c>
      <c r="Z112" s="267" t="s">
        <v>838</v>
      </c>
      <c r="AA112" s="107" t="s">
        <v>838</v>
      </c>
    </row>
    <row r="113" spans="1:27" ht="30" x14ac:dyDescent="0.25">
      <c r="A113" s="68" t="s">
        <v>1237</v>
      </c>
      <c r="B113" s="88" t="s">
        <v>802</v>
      </c>
      <c r="C113" s="5">
        <v>2019</v>
      </c>
      <c r="D113" s="4" t="s">
        <v>1256</v>
      </c>
      <c r="E113" s="69" t="s">
        <v>78</v>
      </c>
      <c r="F113" s="69" t="s">
        <v>78</v>
      </c>
      <c r="G113" s="834" t="s">
        <v>1205</v>
      </c>
      <c r="H113" s="13">
        <v>80000</v>
      </c>
      <c r="I113" s="13">
        <v>0</v>
      </c>
      <c r="J113" s="17">
        <v>0</v>
      </c>
      <c r="K113" s="334">
        <v>0</v>
      </c>
      <c r="L113" s="308">
        <v>0</v>
      </c>
      <c r="M113" s="969">
        <v>0</v>
      </c>
      <c r="N113" s="651">
        <f t="shared" si="9"/>
        <v>0</v>
      </c>
      <c r="O113" s="30">
        <v>0</v>
      </c>
      <c r="P113" s="19">
        <v>0</v>
      </c>
      <c r="Q113" s="30">
        <v>0</v>
      </c>
      <c r="R113" s="434">
        <v>0</v>
      </c>
      <c r="S113" s="18">
        <v>0</v>
      </c>
      <c r="T113" s="927">
        <v>15000</v>
      </c>
      <c r="U113" s="19">
        <v>35000</v>
      </c>
      <c r="V113" s="30">
        <v>30000</v>
      </c>
      <c r="W113" s="143" t="s">
        <v>784</v>
      </c>
      <c r="X113" s="5" t="s">
        <v>22</v>
      </c>
      <c r="Y113" s="392" t="s">
        <v>892</v>
      </c>
      <c r="Z113" s="267" t="s">
        <v>838</v>
      </c>
      <c r="AA113" s="107" t="s">
        <v>838</v>
      </c>
    </row>
    <row r="114" spans="1:27" ht="25.5" x14ac:dyDescent="0.25">
      <c r="A114" s="68" t="s">
        <v>1238</v>
      </c>
      <c r="B114" s="88" t="s">
        <v>802</v>
      </c>
      <c r="C114" s="5">
        <v>2019</v>
      </c>
      <c r="D114" s="4" t="s">
        <v>1256</v>
      </c>
      <c r="E114" s="69" t="s">
        <v>78</v>
      </c>
      <c r="F114" s="69" t="s">
        <v>78</v>
      </c>
      <c r="G114" s="970" t="s">
        <v>1206</v>
      </c>
      <c r="H114" s="13">
        <v>6170.1018800000002</v>
      </c>
      <c r="I114" s="13">
        <v>0</v>
      </c>
      <c r="J114" s="17">
        <v>0</v>
      </c>
      <c r="K114" s="334">
        <v>0</v>
      </c>
      <c r="L114" s="308">
        <v>0</v>
      </c>
      <c r="M114" s="969">
        <v>0</v>
      </c>
      <c r="N114" s="651">
        <f t="shared" si="9"/>
        <v>0</v>
      </c>
      <c r="O114" s="30">
        <v>0</v>
      </c>
      <c r="P114" s="19">
        <v>0</v>
      </c>
      <c r="Q114" s="30">
        <v>0</v>
      </c>
      <c r="R114" s="434">
        <v>0</v>
      </c>
      <c r="S114" s="18">
        <v>0</v>
      </c>
      <c r="T114" s="927">
        <v>6170.1018800000002</v>
      </c>
      <c r="U114" s="743">
        <v>0</v>
      </c>
      <c r="V114" s="30">
        <v>0</v>
      </c>
      <c r="W114" s="143" t="s">
        <v>784</v>
      </c>
      <c r="X114" s="5" t="s">
        <v>22</v>
      </c>
      <c r="Y114" s="392" t="s">
        <v>1200</v>
      </c>
      <c r="Z114" s="267" t="s">
        <v>838</v>
      </c>
      <c r="AA114" s="107" t="s">
        <v>838</v>
      </c>
    </row>
    <row r="115" spans="1:27" ht="25.5" x14ac:dyDescent="0.25">
      <c r="A115" s="68" t="s">
        <v>1239</v>
      </c>
      <c r="B115" s="88" t="s">
        <v>802</v>
      </c>
      <c r="C115" s="5">
        <v>2019</v>
      </c>
      <c r="D115" s="4" t="s">
        <v>1256</v>
      </c>
      <c r="E115" s="69" t="s">
        <v>78</v>
      </c>
      <c r="F115" s="69" t="s">
        <v>78</v>
      </c>
      <c r="G115" s="834" t="s">
        <v>1207</v>
      </c>
      <c r="H115" s="13">
        <v>7260</v>
      </c>
      <c r="I115" s="13">
        <v>0</v>
      </c>
      <c r="J115" s="17">
        <v>0</v>
      </c>
      <c r="K115" s="334">
        <v>0</v>
      </c>
      <c r="L115" s="308">
        <v>0</v>
      </c>
      <c r="M115" s="969">
        <v>0</v>
      </c>
      <c r="N115" s="651">
        <f t="shared" si="9"/>
        <v>0</v>
      </c>
      <c r="O115" s="30">
        <v>0</v>
      </c>
      <c r="P115" s="19">
        <v>0</v>
      </c>
      <c r="Q115" s="30">
        <v>0</v>
      </c>
      <c r="R115" s="434">
        <v>0</v>
      </c>
      <c r="S115" s="18">
        <v>0</v>
      </c>
      <c r="T115" s="927">
        <v>0</v>
      </c>
      <c r="U115" s="743">
        <v>7260</v>
      </c>
      <c r="V115" s="30">
        <v>0</v>
      </c>
      <c r="W115" s="143" t="s">
        <v>784</v>
      </c>
      <c r="X115" s="5" t="s">
        <v>22</v>
      </c>
      <c r="Y115" s="392" t="s">
        <v>892</v>
      </c>
      <c r="Z115" s="267" t="s">
        <v>838</v>
      </c>
      <c r="AA115" s="107" t="s">
        <v>838</v>
      </c>
    </row>
    <row r="116" spans="1:27" ht="25.5" x14ac:dyDescent="0.25">
      <c r="A116" s="68" t="s">
        <v>1240</v>
      </c>
      <c r="B116" s="88" t="s">
        <v>802</v>
      </c>
      <c r="C116" s="5">
        <v>2019</v>
      </c>
      <c r="D116" s="4" t="s">
        <v>1256</v>
      </c>
      <c r="E116" s="69" t="s">
        <v>78</v>
      </c>
      <c r="F116" s="69" t="s">
        <v>78</v>
      </c>
      <c r="G116" s="834" t="s">
        <v>1208</v>
      </c>
      <c r="H116" s="13">
        <v>50000</v>
      </c>
      <c r="I116" s="13">
        <v>0</v>
      </c>
      <c r="J116" s="17">
        <v>0</v>
      </c>
      <c r="K116" s="334">
        <v>0</v>
      </c>
      <c r="L116" s="308">
        <v>0</v>
      </c>
      <c r="M116" s="969">
        <v>0</v>
      </c>
      <c r="N116" s="651">
        <f t="shared" si="9"/>
        <v>0</v>
      </c>
      <c r="O116" s="30">
        <v>0</v>
      </c>
      <c r="P116" s="19">
        <v>0</v>
      </c>
      <c r="Q116" s="30">
        <v>0</v>
      </c>
      <c r="R116" s="434">
        <v>0</v>
      </c>
      <c r="S116" s="18">
        <v>0</v>
      </c>
      <c r="T116" s="927">
        <v>0</v>
      </c>
      <c r="U116" s="743">
        <v>50000</v>
      </c>
      <c r="V116" s="30">
        <v>0</v>
      </c>
      <c r="W116" s="143" t="s">
        <v>784</v>
      </c>
      <c r="X116" s="5" t="s">
        <v>22</v>
      </c>
      <c r="Y116" s="392" t="s">
        <v>892</v>
      </c>
      <c r="Z116" s="267" t="s">
        <v>838</v>
      </c>
      <c r="AA116" s="107" t="s">
        <v>838</v>
      </c>
    </row>
    <row r="117" spans="1:27" ht="25.5" x14ac:dyDescent="0.25">
      <c r="A117" s="68" t="s">
        <v>1241</v>
      </c>
      <c r="B117" s="88" t="s">
        <v>802</v>
      </c>
      <c r="C117" s="5">
        <v>2019</v>
      </c>
      <c r="D117" s="4" t="s">
        <v>1256</v>
      </c>
      <c r="E117" s="69" t="s">
        <v>78</v>
      </c>
      <c r="F117" s="69" t="s">
        <v>78</v>
      </c>
      <c r="G117" s="834" t="s">
        <v>1209</v>
      </c>
      <c r="H117" s="13">
        <v>15249.096390000001</v>
      </c>
      <c r="I117" s="13">
        <v>0</v>
      </c>
      <c r="J117" s="17">
        <v>0</v>
      </c>
      <c r="K117" s="334">
        <v>0</v>
      </c>
      <c r="L117" s="308">
        <v>0</v>
      </c>
      <c r="M117" s="969">
        <v>0</v>
      </c>
      <c r="N117" s="651">
        <f t="shared" si="9"/>
        <v>0</v>
      </c>
      <c r="O117" s="30">
        <v>0</v>
      </c>
      <c r="P117" s="19">
        <v>0</v>
      </c>
      <c r="Q117" s="30">
        <v>0</v>
      </c>
      <c r="R117" s="434">
        <v>0</v>
      </c>
      <c r="S117" s="18">
        <v>0</v>
      </c>
      <c r="T117" s="927">
        <v>0</v>
      </c>
      <c r="U117" s="743">
        <v>15249.096390000001</v>
      </c>
      <c r="V117" s="30">
        <v>0</v>
      </c>
      <c r="W117" s="143" t="s">
        <v>784</v>
      </c>
      <c r="X117" s="5" t="s">
        <v>22</v>
      </c>
      <c r="Y117" s="392" t="s">
        <v>892</v>
      </c>
      <c r="Z117" s="267" t="s">
        <v>838</v>
      </c>
      <c r="AA117" s="107" t="s">
        <v>838</v>
      </c>
    </row>
    <row r="118" spans="1:27" ht="25.5" x14ac:dyDescent="0.25">
      <c r="A118" s="68" t="s">
        <v>1242</v>
      </c>
      <c r="B118" s="88" t="s">
        <v>802</v>
      </c>
      <c r="C118" s="5">
        <v>2019</v>
      </c>
      <c r="D118" s="4" t="s">
        <v>1256</v>
      </c>
      <c r="E118" s="69" t="s">
        <v>78</v>
      </c>
      <c r="F118" s="69" t="s">
        <v>78</v>
      </c>
      <c r="G118" s="834" t="s">
        <v>1210</v>
      </c>
      <c r="H118" s="13">
        <v>32757.505000000001</v>
      </c>
      <c r="I118" s="13">
        <v>0</v>
      </c>
      <c r="J118" s="17">
        <v>0</v>
      </c>
      <c r="K118" s="334">
        <v>0</v>
      </c>
      <c r="L118" s="308">
        <v>0</v>
      </c>
      <c r="M118" s="969">
        <v>0</v>
      </c>
      <c r="N118" s="651">
        <f t="shared" si="9"/>
        <v>0</v>
      </c>
      <c r="O118" s="30">
        <v>0</v>
      </c>
      <c r="P118" s="19">
        <v>0</v>
      </c>
      <c r="Q118" s="30">
        <v>0</v>
      </c>
      <c r="R118" s="434">
        <v>0</v>
      </c>
      <c r="S118" s="18">
        <v>0</v>
      </c>
      <c r="T118" s="927">
        <v>0</v>
      </c>
      <c r="U118" s="743">
        <v>32757.505000000001</v>
      </c>
      <c r="V118" s="30">
        <v>0</v>
      </c>
      <c r="W118" s="143" t="s">
        <v>784</v>
      </c>
      <c r="X118" s="5" t="s">
        <v>22</v>
      </c>
      <c r="Y118" s="392" t="s">
        <v>892</v>
      </c>
      <c r="Z118" s="267" t="s">
        <v>838</v>
      </c>
      <c r="AA118" s="107" t="s">
        <v>838</v>
      </c>
    </row>
    <row r="119" spans="1:27" s="717" customFormat="1" ht="30" x14ac:dyDescent="0.25">
      <c r="A119" s="778" t="s">
        <v>1243</v>
      </c>
      <c r="B119" s="779" t="s">
        <v>802</v>
      </c>
      <c r="C119" s="518">
        <v>2019</v>
      </c>
      <c r="D119" s="822" t="s">
        <v>1256</v>
      </c>
      <c r="E119" s="780" t="s">
        <v>78</v>
      </c>
      <c r="F119" s="780" t="s">
        <v>78</v>
      </c>
      <c r="G119" s="867" t="s">
        <v>1211</v>
      </c>
      <c r="H119" s="694">
        <v>11948</v>
      </c>
      <c r="I119" s="694">
        <v>0</v>
      </c>
      <c r="J119" s="521">
        <v>0</v>
      </c>
      <c r="K119" s="971">
        <v>0</v>
      </c>
      <c r="L119" s="967">
        <v>0</v>
      </c>
      <c r="M119" s="972">
        <v>0</v>
      </c>
      <c r="N119" s="973">
        <f t="shared" si="9"/>
        <v>0</v>
      </c>
      <c r="O119" s="875">
        <v>0</v>
      </c>
      <c r="P119" s="785">
        <v>0</v>
      </c>
      <c r="Q119" s="875">
        <v>0</v>
      </c>
      <c r="R119" s="781">
        <v>0</v>
      </c>
      <c r="S119" s="783">
        <v>0</v>
      </c>
      <c r="T119" s="974">
        <v>0</v>
      </c>
      <c r="U119" s="975">
        <v>11948</v>
      </c>
      <c r="V119" s="875">
        <v>0</v>
      </c>
      <c r="W119" s="1946" t="s">
        <v>1505</v>
      </c>
      <c r="X119" s="518" t="s">
        <v>22</v>
      </c>
      <c r="Y119" s="976" t="s">
        <v>892</v>
      </c>
      <c r="Z119" s="787" t="s">
        <v>838</v>
      </c>
      <c r="AA119" s="786" t="s">
        <v>838</v>
      </c>
    </row>
    <row r="120" spans="1:27" ht="25.5" x14ac:dyDescent="0.25">
      <c r="A120" s="68" t="s">
        <v>1244</v>
      </c>
      <c r="B120" s="88" t="s">
        <v>802</v>
      </c>
      <c r="C120" s="5">
        <v>2019</v>
      </c>
      <c r="D120" s="4" t="s">
        <v>1256</v>
      </c>
      <c r="E120" s="69" t="s">
        <v>78</v>
      </c>
      <c r="F120" s="69" t="s">
        <v>78</v>
      </c>
      <c r="G120" s="834" t="s">
        <v>1212</v>
      </c>
      <c r="H120" s="13">
        <v>10774</v>
      </c>
      <c r="I120" s="13">
        <v>0</v>
      </c>
      <c r="J120" s="17">
        <v>0</v>
      </c>
      <c r="K120" s="334">
        <v>0</v>
      </c>
      <c r="L120" s="308">
        <v>0</v>
      </c>
      <c r="M120" s="969">
        <v>0</v>
      </c>
      <c r="N120" s="651">
        <f t="shared" si="9"/>
        <v>0</v>
      </c>
      <c r="O120" s="30">
        <v>0</v>
      </c>
      <c r="P120" s="19">
        <v>0</v>
      </c>
      <c r="Q120" s="30">
        <v>0</v>
      </c>
      <c r="R120" s="434">
        <v>0</v>
      </c>
      <c r="S120" s="18">
        <v>0</v>
      </c>
      <c r="T120" s="927">
        <v>0</v>
      </c>
      <c r="U120" s="743">
        <v>10774</v>
      </c>
      <c r="V120" s="30">
        <v>0</v>
      </c>
      <c r="W120" s="143" t="s">
        <v>784</v>
      </c>
      <c r="X120" s="5" t="s">
        <v>22</v>
      </c>
      <c r="Y120" s="392" t="s">
        <v>892</v>
      </c>
      <c r="Z120" s="267" t="s">
        <v>838</v>
      </c>
      <c r="AA120" s="107" t="s">
        <v>838</v>
      </c>
    </row>
    <row r="121" spans="1:27" s="717" customFormat="1" ht="25.5" x14ac:dyDescent="0.25">
      <c r="A121" s="778" t="s">
        <v>1245</v>
      </c>
      <c r="B121" s="779" t="s">
        <v>802</v>
      </c>
      <c r="C121" s="518">
        <v>2019</v>
      </c>
      <c r="D121" s="822" t="s">
        <v>1256</v>
      </c>
      <c r="E121" s="780" t="s">
        <v>78</v>
      </c>
      <c r="F121" s="780" t="s">
        <v>78</v>
      </c>
      <c r="G121" s="867" t="s">
        <v>1213</v>
      </c>
      <c r="H121" s="694">
        <v>9478</v>
      </c>
      <c r="I121" s="694">
        <v>0</v>
      </c>
      <c r="J121" s="521">
        <v>0</v>
      </c>
      <c r="K121" s="971">
        <v>0</v>
      </c>
      <c r="L121" s="967">
        <v>0</v>
      </c>
      <c r="M121" s="972">
        <v>0</v>
      </c>
      <c r="N121" s="973">
        <f t="shared" si="9"/>
        <v>0</v>
      </c>
      <c r="O121" s="875">
        <v>0</v>
      </c>
      <c r="P121" s="785">
        <v>0</v>
      </c>
      <c r="Q121" s="875">
        <v>0</v>
      </c>
      <c r="R121" s="781">
        <v>0</v>
      </c>
      <c r="S121" s="783">
        <v>0</v>
      </c>
      <c r="T121" s="974">
        <v>0</v>
      </c>
      <c r="U121" s="975">
        <v>9478</v>
      </c>
      <c r="V121" s="875">
        <v>0</v>
      </c>
      <c r="W121" s="1946" t="s">
        <v>1540</v>
      </c>
      <c r="X121" s="518" t="s">
        <v>22</v>
      </c>
      <c r="Y121" s="976" t="s">
        <v>892</v>
      </c>
      <c r="Z121" s="787" t="s">
        <v>838</v>
      </c>
      <c r="AA121" s="786" t="s">
        <v>838</v>
      </c>
    </row>
    <row r="122" spans="1:27" ht="30" x14ac:dyDescent="0.25">
      <c r="A122" s="68" t="s">
        <v>1246</v>
      </c>
      <c r="B122" s="88" t="s">
        <v>802</v>
      </c>
      <c r="C122" s="5">
        <v>2019</v>
      </c>
      <c r="D122" s="4" t="s">
        <v>1256</v>
      </c>
      <c r="E122" s="69" t="s">
        <v>78</v>
      </c>
      <c r="F122" s="69" t="s">
        <v>78</v>
      </c>
      <c r="G122" s="834" t="s">
        <v>1214</v>
      </c>
      <c r="H122" s="13">
        <v>15816.711950000001</v>
      </c>
      <c r="I122" s="13">
        <v>0</v>
      </c>
      <c r="J122" s="17">
        <v>0</v>
      </c>
      <c r="K122" s="334">
        <v>0</v>
      </c>
      <c r="L122" s="308">
        <v>0</v>
      </c>
      <c r="M122" s="969">
        <v>0</v>
      </c>
      <c r="N122" s="651">
        <f t="shared" si="9"/>
        <v>0</v>
      </c>
      <c r="O122" s="30">
        <v>0</v>
      </c>
      <c r="P122" s="19">
        <v>0</v>
      </c>
      <c r="Q122" s="30">
        <v>0</v>
      </c>
      <c r="R122" s="434">
        <v>0</v>
      </c>
      <c r="S122" s="18">
        <v>0</v>
      </c>
      <c r="T122" s="927">
        <v>0</v>
      </c>
      <c r="U122" s="743">
        <v>15816.711950000001</v>
      </c>
      <c r="V122" s="30">
        <v>0</v>
      </c>
      <c r="W122" s="143" t="s">
        <v>784</v>
      </c>
      <c r="X122" s="5" t="s">
        <v>22</v>
      </c>
      <c r="Y122" s="392" t="s">
        <v>892</v>
      </c>
      <c r="Z122" s="267" t="s">
        <v>838</v>
      </c>
      <c r="AA122" s="107" t="s">
        <v>838</v>
      </c>
    </row>
    <row r="123" spans="1:27" ht="25.5" x14ac:dyDescent="0.25">
      <c r="A123" s="68" t="s">
        <v>1247</v>
      </c>
      <c r="B123" s="88" t="s">
        <v>802</v>
      </c>
      <c r="C123" s="5">
        <v>2019</v>
      </c>
      <c r="D123" s="4" t="s">
        <v>1256</v>
      </c>
      <c r="E123" s="69" t="s">
        <v>78</v>
      </c>
      <c r="F123" s="69" t="s">
        <v>78</v>
      </c>
      <c r="G123" s="834" t="s">
        <v>1215</v>
      </c>
      <c r="H123" s="13">
        <v>12100</v>
      </c>
      <c r="I123" s="13">
        <v>0</v>
      </c>
      <c r="J123" s="17">
        <v>0</v>
      </c>
      <c r="K123" s="334">
        <v>0</v>
      </c>
      <c r="L123" s="308">
        <v>0</v>
      </c>
      <c r="M123" s="969">
        <v>0</v>
      </c>
      <c r="N123" s="651">
        <f t="shared" si="9"/>
        <v>0</v>
      </c>
      <c r="O123" s="30">
        <v>0</v>
      </c>
      <c r="P123" s="19">
        <v>0</v>
      </c>
      <c r="Q123" s="30">
        <v>0</v>
      </c>
      <c r="R123" s="434">
        <v>0</v>
      </c>
      <c r="S123" s="18">
        <v>0</v>
      </c>
      <c r="T123" s="927">
        <v>0</v>
      </c>
      <c r="U123" s="743">
        <v>12100</v>
      </c>
      <c r="V123" s="30">
        <v>0</v>
      </c>
      <c r="W123" s="143" t="s">
        <v>784</v>
      </c>
      <c r="X123" s="5" t="s">
        <v>22</v>
      </c>
      <c r="Y123" s="392" t="s">
        <v>892</v>
      </c>
      <c r="Z123" s="267" t="s">
        <v>838</v>
      </c>
      <c r="AA123" s="107" t="s">
        <v>838</v>
      </c>
    </row>
    <row r="124" spans="1:27" ht="25.5" x14ac:dyDescent="0.25">
      <c r="A124" s="68" t="s">
        <v>1248</v>
      </c>
      <c r="B124" s="88" t="s">
        <v>802</v>
      </c>
      <c r="C124" s="5">
        <v>2019</v>
      </c>
      <c r="D124" s="4" t="s">
        <v>1256</v>
      </c>
      <c r="E124" s="69" t="s">
        <v>78</v>
      </c>
      <c r="F124" s="69" t="s">
        <v>78</v>
      </c>
      <c r="G124" s="834" t="s">
        <v>1216</v>
      </c>
      <c r="H124" s="13">
        <v>22990</v>
      </c>
      <c r="I124" s="13">
        <v>0</v>
      </c>
      <c r="J124" s="17">
        <v>0</v>
      </c>
      <c r="K124" s="334">
        <v>0</v>
      </c>
      <c r="L124" s="308">
        <v>0</v>
      </c>
      <c r="M124" s="969">
        <v>0</v>
      </c>
      <c r="N124" s="651">
        <f t="shared" si="9"/>
        <v>0</v>
      </c>
      <c r="O124" s="30">
        <v>0</v>
      </c>
      <c r="P124" s="19">
        <v>0</v>
      </c>
      <c r="Q124" s="30">
        <v>0</v>
      </c>
      <c r="R124" s="434">
        <v>0</v>
      </c>
      <c r="S124" s="18">
        <v>0</v>
      </c>
      <c r="T124" s="927">
        <v>0</v>
      </c>
      <c r="U124" s="743">
        <v>22990</v>
      </c>
      <c r="V124" s="30">
        <v>0</v>
      </c>
      <c r="W124" s="143" t="s">
        <v>784</v>
      </c>
      <c r="X124" s="5" t="s">
        <v>22</v>
      </c>
      <c r="Y124" s="392" t="s">
        <v>892</v>
      </c>
      <c r="Z124" s="267" t="s">
        <v>838</v>
      </c>
      <c r="AA124" s="107" t="s">
        <v>838</v>
      </c>
    </row>
    <row r="125" spans="1:27" ht="25.5" x14ac:dyDescent="0.25">
      <c r="A125" s="68" t="s">
        <v>1249</v>
      </c>
      <c r="B125" s="88" t="s">
        <v>802</v>
      </c>
      <c r="C125" s="5">
        <v>2019</v>
      </c>
      <c r="D125" s="4" t="s">
        <v>1256</v>
      </c>
      <c r="E125" s="69" t="s">
        <v>78</v>
      </c>
      <c r="F125" s="69" t="s">
        <v>78</v>
      </c>
      <c r="G125" s="834" t="s">
        <v>1217</v>
      </c>
      <c r="H125" s="13">
        <v>33880</v>
      </c>
      <c r="I125" s="13">
        <v>0</v>
      </c>
      <c r="J125" s="17">
        <v>0</v>
      </c>
      <c r="K125" s="334">
        <v>0</v>
      </c>
      <c r="L125" s="308">
        <v>0</v>
      </c>
      <c r="M125" s="969">
        <v>0</v>
      </c>
      <c r="N125" s="651">
        <f t="shared" si="9"/>
        <v>0</v>
      </c>
      <c r="O125" s="30">
        <v>0</v>
      </c>
      <c r="P125" s="19">
        <v>0</v>
      </c>
      <c r="Q125" s="30">
        <v>0</v>
      </c>
      <c r="R125" s="434">
        <v>0</v>
      </c>
      <c r="S125" s="18">
        <v>0</v>
      </c>
      <c r="T125" s="927">
        <v>0</v>
      </c>
      <c r="U125" s="743">
        <v>33880</v>
      </c>
      <c r="V125" s="30">
        <v>0</v>
      </c>
      <c r="W125" s="143" t="s">
        <v>784</v>
      </c>
      <c r="X125" s="5" t="s">
        <v>22</v>
      </c>
      <c r="Y125" s="392" t="s">
        <v>892</v>
      </c>
      <c r="Z125" s="267" t="s">
        <v>838</v>
      </c>
      <c r="AA125" s="107" t="s">
        <v>838</v>
      </c>
    </row>
    <row r="126" spans="1:27" ht="25.5" x14ac:dyDescent="0.25">
      <c r="A126" s="68" t="s">
        <v>1250</v>
      </c>
      <c r="B126" s="88" t="s">
        <v>802</v>
      </c>
      <c r="C126" s="5">
        <v>2019</v>
      </c>
      <c r="D126" s="4" t="s">
        <v>1256</v>
      </c>
      <c r="E126" s="69" t="s">
        <v>78</v>
      </c>
      <c r="F126" s="69" t="s">
        <v>78</v>
      </c>
      <c r="G126" s="834" t="s">
        <v>1218</v>
      </c>
      <c r="H126" s="13">
        <v>6338.78</v>
      </c>
      <c r="I126" s="13">
        <v>0</v>
      </c>
      <c r="J126" s="17">
        <v>0</v>
      </c>
      <c r="K126" s="334">
        <v>0</v>
      </c>
      <c r="L126" s="308">
        <v>0</v>
      </c>
      <c r="M126" s="969">
        <v>0</v>
      </c>
      <c r="N126" s="651">
        <f t="shared" si="9"/>
        <v>0</v>
      </c>
      <c r="O126" s="30">
        <v>0</v>
      </c>
      <c r="P126" s="19">
        <v>0</v>
      </c>
      <c r="Q126" s="30">
        <v>0</v>
      </c>
      <c r="R126" s="434">
        <v>0</v>
      </c>
      <c r="S126" s="18">
        <v>0</v>
      </c>
      <c r="T126" s="927">
        <v>0</v>
      </c>
      <c r="U126" s="743">
        <v>6338.78</v>
      </c>
      <c r="V126" s="30">
        <v>0</v>
      </c>
      <c r="W126" s="143" t="s">
        <v>784</v>
      </c>
      <c r="X126" s="5" t="s">
        <v>22</v>
      </c>
      <c r="Y126" s="392" t="s">
        <v>892</v>
      </c>
      <c r="Z126" s="267" t="s">
        <v>838</v>
      </c>
      <c r="AA126" s="107" t="s">
        <v>838</v>
      </c>
    </row>
    <row r="127" spans="1:27" ht="26.25" thickBot="1" x14ac:dyDescent="0.3">
      <c r="A127" s="137" t="s">
        <v>1251</v>
      </c>
      <c r="B127" s="139" t="s">
        <v>802</v>
      </c>
      <c r="C127" s="138">
        <v>2019</v>
      </c>
      <c r="D127" s="11" t="s">
        <v>1256</v>
      </c>
      <c r="E127" s="89" t="s">
        <v>78</v>
      </c>
      <c r="F127" s="89" t="s">
        <v>78</v>
      </c>
      <c r="G127" s="977" t="s">
        <v>1219</v>
      </c>
      <c r="H127" s="583">
        <v>41118</v>
      </c>
      <c r="I127" s="587">
        <v>0</v>
      </c>
      <c r="J127" s="48">
        <v>0</v>
      </c>
      <c r="K127" s="978">
        <v>0</v>
      </c>
      <c r="L127" s="773">
        <v>0</v>
      </c>
      <c r="M127" s="979">
        <v>0</v>
      </c>
      <c r="N127" s="628">
        <f t="shared" si="9"/>
        <v>0</v>
      </c>
      <c r="O127" s="101">
        <v>0</v>
      </c>
      <c r="P127" s="51">
        <v>0</v>
      </c>
      <c r="Q127" s="101">
        <v>0</v>
      </c>
      <c r="R127" s="565">
        <v>0</v>
      </c>
      <c r="S127" s="49">
        <v>0</v>
      </c>
      <c r="T127" s="980">
        <v>0</v>
      </c>
      <c r="U127" s="981">
        <v>41118</v>
      </c>
      <c r="V127" s="101">
        <v>0</v>
      </c>
      <c r="W127" s="511" t="s">
        <v>784</v>
      </c>
      <c r="X127" s="138" t="s">
        <v>22</v>
      </c>
      <c r="Y127" s="982" t="s">
        <v>870</v>
      </c>
      <c r="Z127" s="268" t="s">
        <v>838</v>
      </c>
      <c r="AA127" s="141" t="s">
        <v>838</v>
      </c>
    </row>
    <row r="128" spans="1:27" ht="30" x14ac:dyDescent="0.25">
      <c r="A128" s="913" t="s">
        <v>1268</v>
      </c>
      <c r="B128" s="983" t="s">
        <v>802</v>
      </c>
      <c r="C128" s="915">
        <v>2019</v>
      </c>
      <c r="D128" s="645" t="s">
        <v>784</v>
      </c>
      <c r="E128" s="984" t="s">
        <v>78</v>
      </c>
      <c r="F128" s="985" t="s">
        <v>78</v>
      </c>
      <c r="G128" s="925" t="s">
        <v>1269</v>
      </c>
      <c r="H128" s="714">
        <v>52239</v>
      </c>
      <c r="I128" s="1823">
        <v>0</v>
      </c>
      <c r="J128" s="916">
        <v>0</v>
      </c>
      <c r="K128" s="986">
        <v>0</v>
      </c>
      <c r="L128" s="987">
        <v>0</v>
      </c>
      <c r="M128" s="920">
        <v>0</v>
      </c>
      <c r="N128" s="988">
        <f t="shared" si="9"/>
        <v>0</v>
      </c>
      <c r="O128" s="919">
        <v>0</v>
      </c>
      <c r="P128" s="922">
        <v>0</v>
      </c>
      <c r="Q128" s="919">
        <v>0</v>
      </c>
      <c r="R128" s="1109">
        <v>0</v>
      </c>
      <c r="S128" s="922">
        <v>0</v>
      </c>
      <c r="T128" s="989">
        <v>0</v>
      </c>
      <c r="U128" s="695">
        <v>52239</v>
      </c>
      <c r="V128" s="919">
        <v>0</v>
      </c>
      <c r="W128" s="990" t="s">
        <v>784</v>
      </c>
      <c r="X128" s="659" t="s">
        <v>22</v>
      </c>
      <c r="Y128" s="991" t="s">
        <v>856</v>
      </c>
      <c r="Z128" s="923" t="s">
        <v>838</v>
      </c>
      <c r="AA128" s="992" t="s">
        <v>838</v>
      </c>
    </row>
    <row r="129" spans="1:27" ht="25.5" x14ac:dyDescent="0.25">
      <c r="A129" s="994" t="s">
        <v>1270</v>
      </c>
      <c r="B129" s="995" t="s">
        <v>802</v>
      </c>
      <c r="C129" s="990">
        <v>2019</v>
      </c>
      <c r="D129" s="646" t="s">
        <v>784</v>
      </c>
      <c r="E129" s="996" t="s">
        <v>78</v>
      </c>
      <c r="F129" s="997" t="s">
        <v>78</v>
      </c>
      <c r="G129" s="926" t="s">
        <v>1271</v>
      </c>
      <c r="H129" s="696">
        <v>21280</v>
      </c>
      <c r="I129" s="697">
        <v>0</v>
      </c>
      <c r="J129" s="696">
        <v>0</v>
      </c>
      <c r="K129" s="999">
        <v>0</v>
      </c>
      <c r="L129" s="1000">
        <v>0</v>
      </c>
      <c r="M129" s="1001">
        <v>0</v>
      </c>
      <c r="N129" s="1002">
        <f t="shared" si="9"/>
        <v>0</v>
      </c>
      <c r="O129" s="1003">
        <v>0</v>
      </c>
      <c r="P129" s="1004">
        <v>0</v>
      </c>
      <c r="Q129" s="1003">
        <v>0</v>
      </c>
      <c r="R129" s="998">
        <v>0</v>
      </c>
      <c r="S129" s="1004">
        <v>21280</v>
      </c>
      <c r="T129" s="1006">
        <v>21280</v>
      </c>
      <c r="U129" s="698">
        <v>0</v>
      </c>
      <c r="V129" s="1003">
        <v>0</v>
      </c>
      <c r="W129" s="990" t="s">
        <v>784</v>
      </c>
      <c r="X129" s="659" t="s">
        <v>22</v>
      </c>
      <c r="Y129" s="1007" t="s">
        <v>312</v>
      </c>
      <c r="Z129" s="923" t="s">
        <v>838</v>
      </c>
      <c r="AA129" s="992" t="s">
        <v>838</v>
      </c>
    </row>
    <row r="130" spans="1:27" ht="30" x14ac:dyDescent="0.25">
      <c r="A130" s="994" t="s">
        <v>1272</v>
      </c>
      <c r="B130" s="995" t="s">
        <v>802</v>
      </c>
      <c r="C130" s="990">
        <v>2019</v>
      </c>
      <c r="D130" s="646" t="s">
        <v>784</v>
      </c>
      <c r="E130" s="996" t="s">
        <v>78</v>
      </c>
      <c r="F130" s="997" t="s">
        <v>78</v>
      </c>
      <c r="G130" s="926" t="s">
        <v>1273</v>
      </c>
      <c r="H130" s="696">
        <v>2373</v>
      </c>
      <c r="I130" s="697">
        <v>0</v>
      </c>
      <c r="J130" s="696">
        <v>0</v>
      </c>
      <c r="K130" s="2029">
        <v>2373</v>
      </c>
      <c r="L130" s="1000">
        <v>0</v>
      </c>
      <c r="M130" s="696">
        <v>2373</v>
      </c>
      <c r="N130" s="1002">
        <f t="shared" si="9"/>
        <v>2373</v>
      </c>
      <c r="O130" s="1003">
        <v>0</v>
      </c>
      <c r="P130" s="1004">
        <v>0</v>
      </c>
      <c r="Q130" s="1003">
        <v>0</v>
      </c>
      <c r="R130" s="998">
        <v>0</v>
      </c>
      <c r="S130" s="1004">
        <v>0</v>
      </c>
      <c r="T130" s="1006">
        <v>0</v>
      </c>
      <c r="U130" s="1010">
        <v>0</v>
      </c>
      <c r="V130" s="1003">
        <v>0</v>
      </c>
      <c r="W130" s="990" t="s">
        <v>784</v>
      </c>
      <c r="X130" s="646" t="s">
        <v>48</v>
      </c>
      <c r="Y130" s="1007" t="s">
        <v>571</v>
      </c>
      <c r="Z130" s="1304" t="s">
        <v>839</v>
      </c>
      <c r="AA130" s="1008" t="s">
        <v>839</v>
      </c>
    </row>
    <row r="131" spans="1:27" x14ac:dyDescent="0.25">
      <c r="A131" s="994" t="s">
        <v>1274</v>
      </c>
      <c r="B131" s="995" t="s">
        <v>802</v>
      </c>
      <c r="C131" s="990">
        <v>2019</v>
      </c>
      <c r="D131" s="646" t="s">
        <v>784</v>
      </c>
      <c r="E131" s="996" t="s">
        <v>78</v>
      </c>
      <c r="F131" s="997" t="s">
        <v>78</v>
      </c>
      <c r="G131" s="926" t="s">
        <v>1275</v>
      </c>
      <c r="H131" s="696">
        <v>2992.2816000000003</v>
      </c>
      <c r="I131" s="697">
        <v>0</v>
      </c>
      <c r="J131" s="696">
        <v>0</v>
      </c>
      <c r="K131" s="999">
        <v>2992.2816000000003</v>
      </c>
      <c r="L131" s="1000">
        <v>0</v>
      </c>
      <c r="M131" s="1001">
        <v>2992.2816000000003</v>
      </c>
      <c r="N131" s="1002">
        <f t="shared" si="9"/>
        <v>2992.2816000000003</v>
      </c>
      <c r="O131" s="1003">
        <v>0</v>
      </c>
      <c r="P131" s="1004">
        <v>0</v>
      </c>
      <c r="Q131" s="1003">
        <v>0</v>
      </c>
      <c r="R131" s="998">
        <v>0</v>
      </c>
      <c r="S131" s="1004">
        <v>0</v>
      </c>
      <c r="T131" s="1006">
        <v>0</v>
      </c>
      <c r="U131" s="1010">
        <v>0</v>
      </c>
      <c r="V131" s="1003">
        <v>0</v>
      </c>
      <c r="W131" s="990" t="s">
        <v>784</v>
      </c>
      <c r="X131" s="646" t="s">
        <v>48</v>
      </c>
      <c r="Y131" s="1007" t="s">
        <v>571</v>
      </c>
      <c r="Z131" s="1304" t="s">
        <v>839</v>
      </c>
      <c r="AA131" s="1008" t="s">
        <v>839</v>
      </c>
    </row>
    <row r="132" spans="1:27" x14ac:dyDescent="0.25">
      <c r="A132" s="994" t="s">
        <v>1276</v>
      </c>
      <c r="B132" s="995" t="s">
        <v>802</v>
      </c>
      <c r="C132" s="990">
        <v>2019</v>
      </c>
      <c r="D132" s="646" t="s">
        <v>784</v>
      </c>
      <c r="E132" s="996" t="s">
        <v>78</v>
      </c>
      <c r="F132" s="997" t="s">
        <v>78</v>
      </c>
      <c r="G132" s="926" t="s">
        <v>1277</v>
      </c>
      <c r="H132" s="696">
        <v>6775.6708799999997</v>
      </c>
      <c r="I132" s="697">
        <v>0</v>
      </c>
      <c r="J132" s="696">
        <v>0</v>
      </c>
      <c r="K132" s="999">
        <v>6775.6708799999997</v>
      </c>
      <c r="L132" s="1000">
        <v>0</v>
      </c>
      <c r="M132" s="1001">
        <v>6775.6708799999997</v>
      </c>
      <c r="N132" s="1002">
        <f t="shared" si="9"/>
        <v>6775.6708799999997</v>
      </c>
      <c r="O132" s="1003">
        <v>0</v>
      </c>
      <c r="P132" s="1004">
        <v>0</v>
      </c>
      <c r="Q132" s="1003">
        <v>0</v>
      </c>
      <c r="R132" s="998">
        <v>0</v>
      </c>
      <c r="S132" s="1004">
        <v>0</v>
      </c>
      <c r="T132" s="1006">
        <v>0</v>
      </c>
      <c r="U132" s="1010">
        <v>0</v>
      </c>
      <c r="V132" s="1003">
        <v>0</v>
      </c>
      <c r="W132" s="990" t="s">
        <v>784</v>
      </c>
      <c r="X132" s="646" t="s">
        <v>48</v>
      </c>
      <c r="Y132" s="1007" t="s">
        <v>571</v>
      </c>
      <c r="Z132" s="1304" t="s">
        <v>839</v>
      </c>
      <c r="AA132" s="1008" t="s">
        <v>839</v>
      </c>
    </row>
    <row r="133" spans="1:27" x14ac:dyDescent="0.25">
      <c r="A133" s="994" t="s">
        <v>1278</v>
      </c>
      <c r="B133" s="995" t="s">
        <v>802</v>
      </c>
      <c r="C133" s="990">
        <v>2019</v>
      </c>
      <c r="D133" s="646" t="s">
        <v>784</v>
      </c>
      <c r="E133" s="996" t="s">
        <v>78</v>
      </c>
      <c r="F133" s="997" t="s">
        <v>78</v>
      </c>
      <c r="G133" s="926" t="s">
        <v>1279</v>
      </c>
      <c r="H133" s="696">
        <v>6170.1241799999998</v>
      </c>
      <c r="I133" s="697">
        <v>0</v>
      </c>
      <c r="J133" s="696">
        <v>0</v>
      </c>
      <c r="K133" s="999">
        <v>6170.1241799999998</v>
      </c>
      <c r="L133" s="1000">
        <v>0</v>
      </c>
      <c r="M133" s="1001">
        <v>6170.1241799999998</v>
      </c>
      <c r="N133" s="1002">
        <f t="shared" si="9"/>
        <v>6170.1241799999998</v>
      </c>
      <c r="O133" s="1003">
        <v>0</v>
      </c>
      <c r="P133" s="1004">
        <v>0</v>
      </c>
      <c r="Q133" s="1003">
        <v>0</v>
      </c>
      <c r="R133" s="998">
        <v>0</v>
      </c>
      <c r="S133" s="1004">
        <v>0</v>
      </c>
      <c r="T133" s="1006">
        <v>0</v>
      </c>
      <c r="U133" s="1010">
        <v>0</v>
      </c>
      <c r="V133" s="1003">
        <v>0</v>
      </c>
      <c r="W133" s="990" t="s">
        <v>784</v>
      </c>
      <c r="X133" s="646" t="s">
        <v>48</v>
      </c>
      <c r="Y133" s="1007" t="s">
        <v>571</v>
      </c>
      <c r="Z133" s="1304" t="s">
        <v>839</v>
      </c>
      <c r="AA133" s="1008" t="s">
        <v>839</v>
      </c>
    </row>
    <row r="134" spans="1:27" x14ac:dyDescent="0.25">
      <c r="A134" s="994" t="s">
        <v>1280</v>
      </c>
      <c r="B134" s="995" t="s">
        <v>802</v>
      </c>
      <c r="C134" s="990">
        <v>2019</v>
      </c>
      <c r="D134" s="646" t="s">
        <v>784</v>
      </c>
      <c r="E134" s="996" t="s">
        <v>78</v>
      </c>
      <c r="F134" s="997" t="s">
        <v>78</v>
      </c>
      <c r="G134" s="926" t="s">
        <v>1281</v>
      </c>
      <c r="H134" s="696">
        <v>3881.1146899999999</v>
      </c>
      <c r="I134" s="697">
        <v>0</v>
      </c>
      <c r="J134" s="696">
        <v>0</v>
      </c>
      <c r="K134" s="999">
        <v>3881.1146899999999</v>
      </c>
      <c r="L134" s="1000">
        <v>0</v>
      </c>
      <c r="M134" s="1001">
        <v>3881.1146899999999</v>
      </c>
      <c r="N134" s="1002">
        <f t="shared" si="9"/>
        <v>3881.1146899999999</v>
      </c>
      <c r="O134" s="1003">
        <v>0</v>
      </c>
      <c r="P134" s="1004">
        <v>0</v>
      </c>
      <c r="Q134" s="1003">
        <v>0</v>
      </c>
      <c r="R134" s="998">
        <v>0</v>
      </c>
      <c r="S134" s="1004">
        <v>0</v>
      </c>
      <c r="T134" s="1006">
        <v>0</v>
      </c>
      <c r="U134" s="1010">
        <v>0</v>
      </c>
      <c r="V134" s="1003">
        <v>0</v>
      </c>
      <c r="W134" s="990" t="s">
        <v>784</v>
      </c>
      <c r="X134" s="646" t="s">
        <v>48</v>
      </c>
      <c r="Y134" s="1007" t="s">
        <v>571</v>
      </c>
      <c r="Z134" s="1304" t="s">
        <v>839</v>
      </c>
      <c r="AA134" s="1008" t="s">
        <v>839</v>
      </c>
    </row>
    <row r="135" spans="1:27" x14ac:dyDescent="0.25">
      <c r="A135" s="994" t="s">
        <v>1282</v>
      </c>
      <c r="B135" s="995" t="s">
        <v>802</v>
      </c>
      <c r="C135" s="990">
        <v>2019</v>
      </c>
      <c r="D135" s="646" t="s">
        <v>784</v>
      </c>
      <c r="E135" s="996" t="s">
        <v>78</v>
      </c>
      <c r="F135" s="997" t="s">
        <v>78</v>
      </c>
      <c r="G135" s="926" t="s">
        <v>1283</v>
      </c>
      <c r="H135" s="696">
        <v>6751.16608</v>
      </c>
      <c r="I135" s="697">
        <v>0</v>
      </c>
      <c r="J135" s="696">
        <v>0</v>
      </c>
      <c r="K135" s="999">
        <v>6751.16608</v>
      </c>
      <c r="L135" s="1000">
        <v>0</v>
      </c>
      <c r="M135" s="1001">
        <v>6751.16608</v>
      </c>
      <c r="N135" s="1002">
        <f t="shared" si="9"/>
        <v>6751.16608</v>
      </c>
      <c r="O135" s="1003">
        <v>0</v>
      </c>
      <c r="P135" s="1004">
        <v>0</v>
      </c>
      <c r="Q135" s="1003">
        <v>0</v>
      </c>
      <c r="R135" s="998">
        <v>0</v>
      </c>
      <c r="S135" s="1004">
        <v>0</v>
      </c>
      <c r="T135" s="1006">
        <v>0</v>
      </c>
      <c r="U135" s="1010">
        <v>0</v>
      </c>
      <c r="V135" s="1003">
        <v>0</v>
      </c>
      <c r="W135" s="990" t="s">
        <v>784</v>
      </c>
      <c r="X135" s="646" t="s">
        <v>48</v>
      </c>
      <c r="Y135" s="1007" t="s">
        <v>571</v>
      </c>
      <c r="Z135" s="1304" t="s">
        <v>839</v>
      </c>
      <c r="AA135" s="1008" t="s">
        <v>839</v>
      </c>
    </row>
    <row r="136" spans="1:27" x14ac:dyDescent="0.25">
      <c r="A136" s="994" t="s">
        <v>1284</v>
      </c>
      <c r="B136" s="995" t="s">
        <v>802</v>
      </c>
      <c r="C136" s="990">
        <v>2019</v>
      </c>
      <c r="D136" s="646" t="s">
        <v>784</v>
      </c>
      <c r="E136" s="996" t="s">
        <v>78</v>
      </c>
      <c r="F136" s="997" t="s">
        <v>78</v>
      </c>
      <c r="G136" s="926" t="s">
        <v>1285</v>
      </c>
      <c r="H136" s="696">
        <v>5968.9215300000005</v>
      </c>
      <c r="I136" s="697">
        <v>0</v>
      </c>
      <c r="J136" s="696">
        <v>0</v>
      </c>
      <c r="K136" s="999">
        <v>5968.9215300000005</v>
      </c>
      <c r="L136" s="1000">
        <v>0</v>
      </c>
      <c r="M136" s="1001">
        <v>5968.9215300000005</v>
      </c>
      <c r="N136" s="1002">
        <f t="shared" si="9"/>
        <v>5968.9215300000005</v>
      </c>
      <c r="O136" s="1003">
        <v>0</v>
      </c>
      <c r="P136" s="1004">
        <v>0</v>
      </c>
      <c r="Q136" s="1003">
        <v>0</v>
      </c>
      <c r="R136" s="998">
        <v>0</v>
      </c>
      <c r="S136" s="1004">
        <v>0</v>
      </c>
      <c r="T136" s="1006">
        <v>0</v>
      </c>
      <c r="U136" s="1010">
        <v>0</v>
      </c>
      <c r="V136" s="1003">
        <v>0</v>
      </c>
      <c r="W136" s="990" t="s">
        <v>784</v>
      </c>
      <c r="X136" s="646" t="s">
        <v>48</v>
      </c>
      <c r="Y136" s="1007" t="s">
        <v>571</v>
      </c>
      <c r="Z136" s="1304" t="s">
        <v>839</v>
      </c>
      <c r="AA136" s="1008" t="s">
        <v>839</v>
      </c>
    </row>
    <row r="137" spans="1:27" x14ac:dyDescent="0.25">
      <c r="A137" s="994" t="s">
        <v>1286</v>
      </c>
      <c r="B137" s="995" t="s">
        <v>802</v>
      </c>
      <c r="C137" s="990">
        <v>2019</v>
      </c>
      <c r="D137" s="646" t="s">
        <v>784</v>
      </c>
      <c r="E137" s="996" t="s">
        <v>78</v>
      </c>
      <c r="F137" s="997" t="s">
        <v>78</v>
      </c>
      <c r="G137" s="926" t="s">
        <v>1287</v>
      </c>
      <c r="H137" s="696">
        <v>7163.5654199999999</v>
      </c>
      <c r="I137" s="697">
        <v>0</v>
      </c>
      <c r="J137" s="696">
        <v>0</v>
      </c>
      <c r="K137" s="999">
        <v>7163.5654199999999</v>
      </c>
      <c r="L137" s="1000">
        <v>0</v>
      </c>
      <c r="M137" s="1001">
        <v>7163.5654199999999</v>
      </c>
      <c r="N137" s="1002">
        <f t="shared" si="9"/>
        <v>7163.5654199999999</v>
      </c>
      <c r="O137" s="1003">
        <v>0</v>
      </c>
      <c r="P137" s="1004">
        <v>0</v>
      </c>
      <c r="Q137" s="1003">
        <v>0</v>
      </c>
      <c r="R137" s="998">
        <v>0</v>
      </c>
      <c r="S137" s="1004">
        <v>0</v>
      </c>
      <c r="T137" s="1006">
        <v>0</v>
      </c>
      <c r="U137" s="1010">
        <v>0</v>
      </c>
      <c r="V137" s="1003">
        <v>0</v>
      </c>
      <c r="W137" s="990" t="s">
        <v>784</v>
      </c>
      <c r="X137" s="646" t="s">
        <v>48</v>
      </c>
      <c r="Y137" s="1007" t="s">
        <v>571</v>
      </c>
      <c r="Z137" s="1304" t="s">
        <v>839</v>
      </c>
      <c r="AA137" s="1008" t="s">
        <v>839</v>
      </c>
    </row>
    <row r="138" spans="1:27" x14ac:dyDescent="0.25">
      <c r="A138" s="994" t="s">
        <v>1288</v>
      </c>
      <c r="B138" s="995" t="s">
        <v>802</v>
      </c>
      <c r="C138" s="990">
        <v>2019</v>
      </c>
      <c r="D138" s="646" t="s">
        <v>784</v>
      </c>
      <c r="E138" s="996" t="s">
        <v>78</v>
      </c>
      <c r="F138" s="997" t="s">
        <v>78</v>
      </c>
      <c r="G138" s="926" t="s">
        <v>1289</v>
      </c>
      <c r="H138" s="696">
        <v>7241.6927000000005</v>
      </c>
      <c r="I138" s="697">
        <v>0</v>
      </c>
      <c r="J138" s="696">
        <v>0</v>
      </c>
      <c r="K138" s="999">
        <v>7241.6927000000005</v>
      </c>
      <c r="L138" s="1000">
        <v>0</v>
      </c>
      <c r="M138" s="1001">
        <v>7241.6927000000005</v>
      </c>
      <c r="N138" s="1002">
        <f t="shared" si="9"/>
        <v>7241.6927000000005</v>
      </c>
      <c r="O138" s="1003">
        <v>0</v>
      </c>
      <c r="P138" s="1004">
        <v>0</v>
      </c>
      <c r="Q138" s="1003">
        <v>0</v>
      </c>
      <c r="R138" s="998">
        <v>0</v>
      </c>
      <c r="S138" s="1004">
        <v>0</v>
      </c>
      <c r="T138" s="1006">
        <v>0</v>
      </c>
      <c r="U138" s="1010">
        <v>0</v>
      </c>
      <c r="V138" s="1003">
        <v>0</v>
      </c>
      <c r="W138" s="990" t="s">
        <v>784</v>
      </c>
      <c r="X138" s="646" t="s">
        <v>48</v>
      </c>
      <c r="Y138" s="1007" t="s">
        <v>571</v>
      </c>
      <c r="Z138" s="1304" t="s">
        <v>839</v>
      </c>
      <c r="AA138" s="1008" t="s">
        <v>839</v>
      </c>
    </row>
    <row r="139" spans="1:27" x14ac:dyDescent="0.25">
      <c r="A139" s="994" t="s">
        <v>1290</v>
      </c>
      <c r="B139" s="995" t="s">
        <v>802</v>
      </c>
      <c r="C139" s="990">
        <v>2019</v>
      </c>
      <c r="D139" s="646" t="s">
        <v>784</v>
      </c>
      <c r="E139" s="996" t="s">
        <v>78</v>
      </c>
      <c r="F139" s="997" t="s">
        <v>78</v>
      </c>
      <c r="G139" s="926" t="s">
        <v>1291</v>
      </c>
      <c r="H139" s="696">
        <v>4637.77754</v>
      </c>
      <c r="I139" s="697">
        <v>0</v>
      </c>
      <c r="J139" s="696">
        <v>0</v>
      </c>
      <c r="K139" s="999">
        <v>4637.77754</v>
      </c>
      <c r="L139" s="1000">
        <v>0</v>
      </c>
      <c r="M139" s="1001">
        <v>4637.77754</v>
      </c>
      <c r="N139" s="1002">
        <f t="shared" si="9"/>
        <v>4637.77754</v>
      </c>
      <c r="O139" s="1003">
        <v>0</v>
      </c>
      <c r="P139" s="1004">
        <v>0</v>
      </c>
      <c r="Q139" s="1003">
        <v>0</v>
      </c>
      <c r="R139" s="998">
        <v>0</v>
      </c>
      <c r="S139" s="1004">
        <v>0</v>
      </c>
      <c r="T139" s="1006">
        <v>0</v>
      </c>
      <c r="U139" s="1010">
        <v>0</v>
      </c>
      <c r="V139" s="1003">
        <v>0</v>
      </c>
      <c r="W139" s="990" t="s">
        <v>784</v>
      </c>
      <c r="X139" s="646" t="s">
        <v>48</v>
      </c>
      <c r="Y139" s="1007" t="s">
        <v>571</v>
      </c>
      <c r="Z139" s="1304" t="s">
        <v>839</v>
      </c>
      <c r="AA139" s="1008" t="s">
        <v>839</v>
      </c>
    </row>
    <row r="140" spans="1:27" x14ac:dyDescent="0.25">
      <c r="A140" s="994" t="s">
        <v>1292</v>
      </c>
      <c r="B140" s="995" t="s">
        <v>802</v>
      </c>
      <c r="C140" s="990">
        <v>2019</v>
      </c>
      <c r="D140" s="646" t="s">
        <v>784</v>
      </c>
      <c r="E140" s="996" t="s">
        <v>78</v>
      </c>
      <c r="F140" s="997" t="s">
        <v>78</v>
      </c>
      <c r="G140" s="926" t="s">
        <v>1293</v>
      </c>
      <c r="H140" s="696">
        <v>6291.21108</v>
      </c>
      <c r="I140" s="697">
        <v>0</v>
      </c>
      <c r="J140" s="696">
        <v>0</v>
      </c>
      <c r="K140" s="999">
        <v>6291.21108</v>
      </c>
      <c r="L140" s="1000">
        <v>0</v>
      </c>
      <c r="M140" s="1001">
        <v>6291.21108</v>
      </c>
      <c r="N140" s="1002">
        <f t="shared" si="9"/>
        <v>6291.21108</v>
      </c>
      <c r="O140" s="1003">
        <v>0</v>
      </c>
      <c r="P140" s="1004">
        <v>0</v>
      </c>
      <c r="Q140" s="1003">
        <v>0</v>
      </c>
      <c r="R140" s="998">
        <v>0</v>
      </c>
      <c r="S140" s="1004">
        <v>0</v>
      </c>
      <c r="T140" s="1006">
        <v>0</v>
      </c>
      <c r="U140" s="1010">
        <v>0</v>
      </c>
      <c r="V140" s="1003">
        <v>0</v>
      </c>
      <c r="W140" s="990" t="s">
        <v>784</v>
      </c>
      <c r="X140" s="646" t="s">
        <v>48</v>
      </c>
      <c r="Y140" s="1007" t="s">
        <v>571</v>
      </c>
      <c r="Z140" s="1304" t="s">
        <v>839</v>
      </c>
      <c r="AA140" s="1008" t="s">
        <v>839</v>
      </c>
    </row>
    <row r="141" spans="1:27" x14ac:dyDescent="0.25">
      <c r="A141" s="994" t="s">
        <v>1294</v>
      </c>
      <c r="B141" s="995" t="s">
        <v>802</v>
      </c>
      <c r="C141" s="990">
        <v>2019</v>
      </c>
      <c r="D141" s="646" t="s">
        <v>784</v>
      </c>
      <c r="E141" s="996" t="s">
        <v>78</v>
      </c>
      <c r="F141" s="997" t="s">
        <v>78</v>
      </c>
      <c r="G141" s="926" t="s">
        <v>1295</v>
      </c>
      <c r="H141" s="696">
        <v>4803.267304</v>
      </c>
      <c r="I141" s="697">
        <v>0</v>
      </c>
      <c r="J141" s="696">
        <v>0</v>
      </c>
      <c r="K141" s="999">
        <v>4803.267304</v>
      </c>
      <c r="L141" s="1000">
        <v>0</v>
      </c>
      <c r="M141" s="1001">
        <v>4803.267304</v>
      </c>
      <c r="N141" s="1002">
        <f t="shared" si="9"/>
        <v>4803.267304</v>
      </c>
      <c r="O141" s="1003">
        <v>0</v>
      </c>
      <c r="P141" s="1004">
        <v>0</v>
      </c>
      <c r="Q141" s="1003">
        <v>0</v>
      </c>
      <c r="R141" s="998">
        <v>0</v>
      </c>
      <c r="S141" s="1004">
        <v>0</v>
      </c>
      <c r="T141" s="1006">
        <v>0</v>
      </c>
      <c r="U141" s="1010">
        <v>0</v>
      </c>
      <c r="V141" s="1003">
        <v>0</v>
      </c>
      <c r="W141" s="990" t="s">
        <v>784</v>
      </c>
      <c r="X141" s="646" t="s">
        <v>48</v>
      </c>
      <c r="Y141" s="1007" t="s">
        <v>571</v>
      </c>
      <c r="Z141" s="1304" t="s">
        <v>839</v>
      </c>
      <c r="AA141" s="1008" t="s">
        <v>839</v>
      </c>
    </row>
    <row r="142" spans="1:27" ht="30" x14ac:dyDescent="0.25">
      <c r="A142" s="994" t="s">
        <v>1296</v>
      </c>
      <c r="B142" s="995" t="s">
        <v>802</v>
      </c>
      <c r="C142" s="990">
        <v>2019</v>
      </c>
      <c r="D142" s="646" t="s">
        <v>784</v>
      </c>
      <c r="E142" s="996" t="s">
        <v>78</v>
      </c>
      <c r="F142" s="997" t="s">
        <v>78</v>
      </c>
      <c r="G142" s="926" t="s">
        <v>1297</v>
      </c>
      <c r="H142" s="696">
        <v>3603.4223500000003</v>
      </c>
      <c r="I142" s="697">
        <v>0</v>
      </c>
      <c r="J142" s="696">
        <v>0</v>
      </c>
      <c r="K142" s="999">
        <v>3603.4223500000003</v>
      </c>
      <c r="L142" s="1000">
        <v>0</v>
      </c>
      <c r="M142" s="1001">
        <v>3603.4223500000003</v>
      </c>
      <c r="N142" s="1002">
        <f t="shared" si="9"/>
        <v>3603.4223500000003</v>
      </c>
      <c r="O142" s="1003">
        <v>0</v>
      </c>
      <c r="P142" s="1004">
        <v>0</v>
      </c>
      <c r="Q142" s="1003">
        <v>0</v>
      </c>
      <c r="R142" s="998">
        <v>0</v>
      </c>
      <c r="S142" s="1004">
        <v>0</v>
      </c>
      <c r="T142" s="1006">
        <v>0</v>
      </c>
      <c r="U142" s="1010">
        <v>0</v>
      </c>
      <c r="V142" s="1003">
        <v>0</v>
      </c>
      <c r="W142" s="990" t="s">
        <v>784</v>
      </c>
      <c r="X142" s="646" t="s">
        <v>48</v>
      </c>
      <c r="Y142" s="1007" t="s">
        <v>571</v>
      </c>
      <c r="Z142" s="1304" t="s">
        <v>839</v>
      </c>
      <c r="AA142" s="1008" t="s">
        <v>839</v>
      </c>
    </row>
    <row r="143" spans="1:27" x14ac:dyDescent="0.25">
      <c r="A143" s="994" t="s">
        <v>1298</v>
      </c>
      <c r="B143" s="995" t="s">
        <v>802</v>
      </c>
      <c r="C143" s="990">
        <v>2019</v>
      </c>
      <c r="D143" s="646" t="s">
        <v>784</v>
      </c>
      <c r="E143" s="996" t="s">
        <v>78</v>
      </c>
      <c r="F143" s="997" t="s">
        <v>78</v>
      </c>
      <c r="G143" s="926" t="s">
        <v>1299</v>
      </c>
      <c r="H143" s="696">
        <v>7183.7094999999999</v>
      </c>
      <c r="I143" s="697">
        <v>0</v>
      </c>
      <c r="J143" s="696">
        <v>0</v>
      </c>
      <c r="K143" s="999">
        <v>7183.7094999999999</v>
      </c>
      <c r="L143" s="1000">
        <v>0</v>
      </c>
      <c r="M143" s="1001">
        <v>7183.7094999999999</v>
      </c>
      <c r="N143" s="1002">
        <f t="shared" si="9"/>
        <v>7183.7094999999999</v>
      </c>
      <c r="O143" s="1003">
        <v>0</v>
      </c>
      <c r="P143" s="1004">
        <v>0</v>
      </c>
      <c r="Q143" s="1003">
        <v>0</v>
      </c>
      <c r="R143" s="998">
        <v>0</v>
      </c>
      <c r="S143" s="1004">
        <v>0</v>
      </c>
      <c r="T143" s="1006">
        <v>0</v>
      </c>
      <c r="U143" s="1010">
        <v>0</v>
      </c>
      <c r="V143" s="1003">
        <v>0</v>
      </c>
      <c r="W143" s="990" t="s">
        <v>784</v>
      </c>
      <c r="X143" s="646" t="s">
        <v>48</v>
      </c>
      <c r="Y143" s="1007" t="s">
        <v>571</v>
      </c>
      <c r="Z143" s="1304" t="s">
        <v>839</v>
      </c>
      <c r="AA143" s="1008" t="s">
        <v>839</v>
      </c>
    </row>
    <row r="144" spans="1:27" x14ac:dyDescent="0.25">
      <c r="A144" s="994" t="s">
        <v>1300</v>
      </c>
      <c r="B144" s="995" t="s">
        <v>802</v>
      </c>
      <c r="C144" s="990">
        <v>2019</v>
      </c>
      <c r="D144" s="646" t="s">
        <v>784</v>
      </c>
      <c r="E144" s="996" t="s">
        <v>78</v>
      </c>
      <c r="F144" s="997" t="s">
        <v>78</v>
      </c>
      <c r="G144" s="926" t="s">
        <v>1301</v>
      </c>
      <c r="H144" s="696">
        <v>5269.7946500000007</v>
      </c>
      <c r="I144" s="697">
        <v>0</v>
      </c>
      <c r="J144" s="696">
        <v>0</v>
      </c>
      <c r="K144" s="999">
        <v>5269.7946500000007</v>
      </c>
      <c r="L144" s="1000">
        <v>0</v>
      </c>
      <c r="M144" s="1001">
        <v>5269.7946500000007</v>
      </c>
      <c r="N144" s="1002">
        <f t="shared" si="9"/>
        <v>5269.7946500000007</v>
      </c>
      <c r="O144" s="1003">
        <v>0</v>
      </c>
      <c r="P144" s="1004">
        <v>0</v>
      </c>
      <c r="Q144" s="1003">
        <v>0</v>
      </c>
      <c r="R144" s="998">
        <v>0</v>
      </c>
      <c r="S144" s="1004">
        <v>0</v>
      </c>
      <c r="T144" s="1006">
        <v>0</v>
      </c>
      <c r="U144" s="1010">
        <v>0</v>
      </c>
      <c r="V144" s="1003">
        <v>0</v>
      </c>
      <c r="W144" s="990" t="s">
        <v>784</v>
      </c>
      <c r="X144" s="646" t="s">
        <v>48</v>
      </c>
      <c r="Y144" s="1007" t="s">
        <v>571</v>
      </c>
      <c r="Z144" s="1304" t="s">
        <v>839</v>
      </c>
      <c r="AA144" s="1008" t="s">
        <v>839</v>
      </c>
    </row>
    <row r="145" spans="1:27" x14ac:dyDescent="0.25">
      <c r="A145" s="994" t="s">
        <v>1302</v>
      </c>
      <c r="B145" s="995" t="s">
        <v>802</v>
      </c>
      <c r="C145" s="990">
        <v>2019</v>
      </c>
      <c r="D145" s="646" t="s">
        <v>784</v>
      </c>
      <c r="E145" s="996" t="s">
        <v>78</v>
      </c>
      <c r="F145" s="997" t="s">
        <v>78</v>
      </c>
      <c r="G145" s="926" t="s">
        <v>1303</v>
      </c>
      <c r="H145" s="696">
        <v>8330.5506459999997</v>
      </c>
      <c r="I145" s="697">
        <v>0</v>
      </c>
      <c r="J145" s="696">
        <v>0</v>
      </c>
      <c r="K145" s="999">
        <v>8330.5506459999997</v>
      </c>
      <c r="L145" s="1000">
        <v>0</v>
      </c>
      <c r="M145" s="1001">
        <v>8330.5506459999997</v>
      </c>
      <c r="N145" s="1002">
        <f t="shared" si="9"/>
        <v>8330.5506459999997</v>
      </c>
      <c r="O145" s="1003">
        <v>0</v>
      </c>
      <c r="P145" s="1004">
        <v>0</v>
      </c>
      <c r="Q145" s="1003">
        <v>0</v>
      </c>
      <c r="R145" s="998">
        <v>0</v>
      </c>
      <c r="S145" s="1004">
        <v>0</v>
      </c>
      <c r="T145" s="1006">
        <v>0</v>
      </c>
      <c r="U145" s="1010">
        <v>0</v>
      </c>
      <c r="V145" s="1003">
        <v>0</v>
      </c>
      <c r="W145" s="990" t="s">
        <v>784</v>
      </c>
      <c r="X145" s="646" t="s">
        <v>48</v>
      </c>
      <c r="Y145" s="1007" t="s">
        <v>571</v>
      </c>
      <c r="Z145" s="1304" t="s">
        <v>839</v>
      </c>
      <c r="AA145" s="1008" t="s">
        <v>839</v>
      </c>
    </row>
    <row r="146" spans="1:27" x14ac:dyDescent="0.25">
      <c r="A146" s="994" t="s">
        <v>1304</v>
      </c>
      <c r="B146" s="995" t="s">
        <v>802</v>
      </c>
      <c r="C146" s="990">
        <v>2019</v>
      </c>
      <c r="D146" s="646" t="s">
        <v>784</v>
      </c>
      <c r="E146" s="996" t="s">
        <v>78</v>
      </c>
      <c r="F146" s="997" t="s">
        <v>78</v>
      </c>
      <c r="G146" s="926" t="s">
        <v>1305</v>
      </c>
      <c r="H146" s="696">
        <v>18695.934209999999</v>
      </c>
      <c r="I146" s="697">
        <v>0</v>
      </c>
      <c r="J146" s="696">
        <v>0</v>
      </c>
      <c r="K146" s="999">
        <v>18695.934209999999</v>
      </c>
      <c r="L146" s="1000">
        <v>0</v>
      </c>
      <c r="M146" s="1001">
        <v>18695.934209999999</v>
      </c>
      <c r="N146" s="1002">
        <f t="shared" si="9"/>
        <v>18695.934209999999</v>
      </c>
      <c r="O146" s="1003">
        <v>0</v>
      </c>
      <c r="P146" s="1004">
        <v>0</v>
      </c>
      <c r="Q146" s="1003">
        <v>0</v>
      </c>
      <c r="R146" s="998">
        <v>0</v>
      </c>
      <c r="S146" s="1004">
        <v>0</v>
      </c>
      <c r="T146" s="1006">
        <v>0</v>
      </c>
      <c r="U146" s="1010">
        <v>0</v>
      </c>
      <c r="V146" s="1003">
        <v>0</v>
      </c>
      <c r="W146" s="990" t="s">
        <v>784</v>
      </c>
      <c r="X146" s="646" t="s">
        <v>48</v>
      </c>
      <c r="Y146" s="1007" t="s">
        <v>571</v>
      </c>
      <c r="Z146" s="1304" t="s">
        <v>839</v>
      </c>
      <c r="AA146" s="1008" t="s">
        <v>839</v>
      </c>
    </row>
    <row r="147" spans="1:27" x14ac:dyDescent="0.25">
      <c r="A147" s="994" t="s">
        <v>1306</v>
      </c>
      <c r="B147" s="995" t="s">
        <v>802</v>
      </c>
      <c r="C147" s="990">
        <v>2019</v>
      </c>
      <c r="D147" s="646" t="s">
        <v>784</v>
      </c>
      <c r="E147" s="996" t="s">
        <v>78</v>
      </c>
      <c r="F147" s="997" t="s">
        <v>78</v>
      </c>
      <c r="G147" s="926" t="s">
        <v>1307</v>
      </c>
      <c r="H147" s="696">
        <v>8900</v>
      </c>
      <c r="I147" s="697">
        <v>0</v>
      </c>
      <c r="J147" s="696">
        <v>0</v>
      </c>
      <c r="K147" s="999">
        <v>8900</v>
      </c>
      <c r="L147" s="1000">
        <v>0</v>
      </c>
      <c r="M147" s="1001">
        <v>8900</v>
      </c>
      <c r="N147" s="1002">
        <f t="shared" si="9"/>
        <v>8900</v>
      </c>
      <c r="O147" s="1003">
        <v>0</v>
      </c>
      <c r="P147" s="1004">
        <v>0</v>
      </c>
      <c r="Q147" s="1003">
        <v>0</v>
      </c>
      <c r="R147" s="998">
        <v>0</v>
      </c>
      <c r="S147" s="1004">
        <v>0</v>
      </c>
      <c r="T147" s="1006">
        <v>0</v>
      </c>
      <c r="U147" s="1010">
        <v>0</v>
      </c>
      <c r="V147" s="1003">
        <v>0</v>
      </c>
      <c r="W147" s="990" t="s">
        <v>784</v>
      </c>
      <c r="X147" s="646" t="s">
        <v>48</v>
      </c>
      <c r="Y147" s="1007" t="s">
        <v>571</v>
      </c>
      <c r="Z147" s="1304" t="s">
        <v>839</v>
      </c>
      <c r="AA147" s="1008" t="s">
        <v>839</v>
      </c>
    </row>
    <row r="148" spans="1:27" x14ac:dyDescent="0.25">
      <c r="A148" s="994" t="s">
        <v>1308</v>
      </c>
      <c r="B148" s="995" t="s">
        <v>802</v>
      </c>
      <c r="C148" s="990">
        <v>2019</v>
      </c>
      <c r="D148" s="646" t="s">
        <v>784</v>
      </c>
      <c r="E148" s="996" t="s">
        <v>78</v>
      </c>
      <c r="F148" s="997" t="s">
        <v>78</v>
      </c>
      <c r="G148" s="926" t="s">
        <v>1309</v>
      </c>
      <c r="H148" s="696">
        <v>4008.0432999999998</v>
      </c>
      <c r="I148" s="697">
        <v>0</v>
      </c>
      <c r="J148" s="696">
        <v>0</v>
      </c>
      <c r="K148" s="999">
        <v>4008.0432999999998</v>
      </c>
      <c r="L148" s="1000">
        <v>0</v>
      </c>
      <c r="M148" s="1001">
        <v>4008.0432999999998</v>
      </c>
      <c r="N148" s="1002">
        <f t="shared" si="9"/>
        <v>4008.0432999999998</v>
      </c>
      <c r="O148" s="1003">
        <v>0</v>
      </c>
      <c r="P148" s="1004">
        <v>0</v>
      </c>
      <c r="Q148" s="1003">
        <v>0</v>
      </c>
      <c r="R148" s="998">
        <v>0</v>
      </c>
      <c r="S148" s="1004">
        <v>0</v>
      </c>
      <c r="T148" s="1006">
        <v>0</v>
      </c>
      <c r="U148" s="1010">
        <v>0</v>
      </c>
      <c r="V148" s="1003">
        <v>0</v>
      </c>
      <c r="W148" s="990" t="s">
        <v>784</v>
      </c>
      <c r="X148" s="646" t="s">
        <v>48</v>
      </c>
      <c r="Y148" s="1007" t="s">
        <v>571</v>
      </c>
      <c r="Z148" s="1304" t="s">
        <v>839</v>
      </c>
      <c r="AA148" s="1008" t="s">
        <v>839</v>
      </c>
    </row>
    <row r="149" spans="1:27" x14ac:dyDescent="0.25">
      <c r="A149" s="994" t="s">
        <v>1310</v>
      </c>
      <c r="B149" s="995" t="s">
        <v>802</v>
      </c>
      <c r="C149" s="990">
        <v>2019</v>
      </c>
      <c r="D149" s="646" t="s">
        <v>784</v>
      </c>
      <c r="E149" s="996" t="s">
        <v>78</v>
      </c>
      <c r="F149" s="997" t="s">
        <v>78</v>
      </c>
      <c r="G149" s="926" t="s">
        <v>1311</v>
      </c>
      <c r="H149" s="696">
        <v>915.06547</v>
      </c>
      <c r="I149" s="697">
        <v>0</v>
      </c>
      <c r="J149" s="696">
        <v>0</v>
      </c>
      <c r="K149" s="999">
        <v>915.06547</v>
      </c>
      <c r="L149" s="1000">
        <v>0</v>
      </c>
      <c r="M149" s="1001">
        <v>915.06547</v>
      </c>
      <c r="N149" s="1002">
        <f t="shared" si="9"/>
        <v>915.06547</v>
      </c>
      <c r="O149" s="1003">
        <v>0</v>
      </c>
      <c r="P149" s="1004">
        <v>0</v>
      </c>
      <c r="Q149" s="1003">
        <v>0</v>
      </c>
      <c r="R149" s="998">
        <v>0</v>
      </c>
      <c r="S149" s="1004">
        <v>0</v>
      </c>
      <c r="T149" s="1006">
        <v>0</v>
      </c>
      <c r="U149" s="1010">
        <v>0</v>
      </c>
      <c r="V149" s="1003">
        <v>0</v>
      </c>
      <c r="W149" s="990" t="s">
        <v>784</v>
      </c>
      <c r="X149" s="646" t="s">
        <v>48</v>
      </c>
      <c r="Y149" s="1007" t="s">
        <v>571</v>
      </c>
      <c r="Z149" s="1304" t="s">
        <v>839</v>
      </c>
      <c r="AA149" s="1008" t="s">
        <v>839</v>
      </c>
    </row>
    <row r="150" spans="1:27" ht="30" x14ac:dyDescent="0.25">
      <c r="A150" s="994" t="s">
        <v>1312</v>
      </c>
      <c r="B150" s="995" t="s">
        <v>802</v>
      </c>
      <c r="C150" s="990">
        <v>2019</v>
      </c>
      <c r="D150" s="646" t="s">
        <v>784</v>
      </c>
      <c r="E150" s="996" t="s">
        <v>78</v>
      </c>
      <c r="F150" s="997" t="s">
        <v>78</v>
      </c>
      <c r="G150" s="926" t="s">
        <v>1313</v>
      </c>
      <c r="H150" s="696">
        <v>19420</v>
      </c>
      <c r="I150" s="697">
        <v>0</v>
      </c>
      <c r="J150" s="696">
        <v>0</v>
      </c>
      <c r="K150" s="999">
        <v>19420</v>
      </c>
      <c r="L150" s="1000">
        <v>0</v>
      </c>
      <c r="M150" s="1001">
        <v>19420</v>
      </c>
      <c r="N150" s="1002">
        <f t="shared" si="9"/>
        <v>19420</v>
      </c>
      <c r="O150" s="1003">
        <v>0</v>
      </c>
      <c r="P150" s="1004">
        <v>0</v>
      </c>
      <c r="Q150" s="1003">
        <v>0</v>
      </c>
      <c r="R150" s="998">
        <v>0</v>
      </c>
      <c r="S150" s="1004">
        <v>0</v>
      </c>
      <c r="T150" s="1006">
        <v>0</v>
      </c>
      <c r="U150" s="1010">
        <v>0</v>
      </c>
      <c r="V150" s="1003">
        <v>0</v>
      </c>
      <c r="W150" s="990" t="s">
        <v>784</v>
      </c>
      <c r="X150" s="646" t="s">
        <v>48</v>
      </c>
      <c r="Y150" s="1007" t="s">
        <v>571</v>
      </c>
      <c r="Z150" s="1304" t="s">
        <v>839</v>
      </c>
      <c r="AA150" s="1008" t="s">
        <v>839</v>
      </c>
    </row>
    <row r="151" spans="1:27" ht="30" x14ac:dyDescent="0.25">
      <c r="A151" s="994" t="s">
        <v>1314</v>
      </c>
      <c r="B151" s="995" t="s">
        <v>802</v>
      </c>
      <c r="C151" s="990">
        <v>2019</v>
      </c>
      <c r="D151" s="646" t="s">
        <v>784</v>
      </c>
      <c r="E151" s="996" t="s">
        <v>78</v>
      </c>
      <c r="F151" s="997" t="s">
        <v>78</v>
      </c>
      <c r="G151" s="926" t="s">
        <v>1315</v>
      </c>
      <c r="H151" s="696">
        <v>3863.5751800000003</v>
      </c>
      <c r="I151" s="697">
        <v>0</v>
      </c>
      <c r="J151" s="696">
        <v>0</v>
      </c>
      <c r="K151" s="999">
        <v>3863.5751800000003</v>
      </c>
      <c r="L151" s="1000">
        <v>0</v>
      </c>
      <c r="M151" s="1001">
        <v>3863.5751800000003</v>
      </c>
      <c r="N151" s="1002">
        <f t="shared" si="9"/>
        <v>3863.5751800000003</v>
      </c>
      <c r="O151" s="1003">
        <v>0</v>
      </c>
      <c r="P151" s="1004">
        <v>0</v>
      </c>
      <c r="Q151" s="1003">
        <v>0</v>
      </c>
      <c r="R151" s="998">
        <v>0</v>
      </c>
      <c r="S151" s="1004">
        <v>0</v>
      </c>
      <c r="T151" s="1006">
        <v>0</v>
      </c>
      <c r="U151" s="1010">
        <v>0</v>
      </c>
      <c r="V151" s="1003">
        <v>0</v>
      </c>
      <c r="W151" s="990" t="s">
        <v>784</v>
      </c>
      <c r="X151" s="646" t="s">
        <v>48</v>
      </c>
      <c r="Y151" s="1007" t="s">
        <v>571</v>
      </c>
      <c r="Z151" s="1304" t="s">
        <v>839</v>
      </c>
      <c r="AA151" s="1008" t="s">
        <v>839</v>
      </c>
    </row>
    <row r="152" spans="1:27" ht="45" x14ac:dyDescent="0.25">
      <c r="A152" s="994" t="s">
        <v>1316</v>
      </c>
      <c r="B152" s="995" t="s">
        <v>802</v>
      </c>
      <c r="C152" s="990">
        <v>2019</v>
      </c>
      <c r="D152" s="646" t="s">
        <v>784</v>
      </c>
      <c r="E152" s="996" t="s">
        <v>78</v>
      </c>
      <c r="F152" s="997" t="s">
        <v>78</v>
      </c>
      <c r="G152" s="926" t="s">
        <v>1317</v>
      </c>
      <c r="H152" s="696">
        <v>3718.7648799999997</v>
      </c>
      <c r="I152" s="697">
        <v>0</v>
      </c>
      <c r="J152" s="696">
        <v>0</v>
      </c>
      <c r="K152" s="999">
        <v>3718.7648799999997</v>
      </c>
      <c r="L152" s="1000">
        <v>0</v>
      </c>
      <c r="M152" s="1001">
        <v>3718.7648799999997</v>
      </c>
      <c r="N152" s="1002">
        <f t="shared" si="9"/>
        <v>3718.7648799999997</v>
      </c>
      <c r="O152" s="1003">
        <v>0</v>
      </c>
      <c r="P152" s="1004">
        <v>0</v>
      </c>
      <c r="Q152" s="1003">
        <v>0</v>
      </c>
      <c r="R152" s="998">
        <v>0</v>
      </c>
      <c r="S152" s="1004">
        <v>0</v>
      </c>
      <c r="T152" s="1006">
        <v>0</v>
      </c>
      <c r="U152" s="1010">
        <v>0</v>
      </c>
      <c r="V152" s="1003">
        <v>0</v>
      </c>
      <c r="W152" s="990" t="s">
        <v>784</v>
      </c>
      <c r="X152" s="646" t="s">
        <v>48</v>
      </c>
      <c r="Y152" s="1007" t="s">
        <v>571</v>
      </c>
      <c r="Z152" s="1304" t="s">
        <v>839</v>
      </c>
      <c r="AA152" s="1008" t="s">
        <v>839</v>
      </c>
    </row>
    <row r="153" spans="1:27" x14ac:dyDescent="0.25">
      <c r="A153" s="994" t="s">
        <v>1318</v>
      </c>
      <c r="B153" s="995" t="s">
        <v>802</v>
      </c>
      <c r="C153" s="990">
        <v>2019</v>
      </c>
      <c r="D153" s="646" t="s">
        <v>784</v>
      </c>
      <c r="E153" s="996" t="s">
        <v>78</v>
      </c>
      <c r="F153" s="997" t="s">
        <v>78</v>
      </c>
      <c r="G153" s="926" t="s">
        <v>1319</v>
      </c>
      <c r="H153" s="696">
        <v>1182.55708</v>
      </c>
      <c r="I153" s="697">
        <v>0</v>
      </c>
      <c r="J153" s="696">
        <v>0</v>
      </c>
      <c r="K153" s="999">
        <v>1182.55708</v>
      </c>
      <c r="L153" s="1000">
        <v>0</v>
      </c>
      <c r="M153" s="1001">
        <v>1182.55708</v>
      </c>
      <c r="N153" s="1002">
        <f t="shared" si="9"/>
        <v>1182.55708</v>
      </c>
      <c r="O153" s="1003">
        <v>0</v>
      </c>
      <c r="P153" s="1004">
        <v>0</v>
      </c>
      <c r="Q153" s="1003">
        <v>0</v>
      </c>
      <c r="R153" s="998">
        <v>0</v>
      </c>
      <c r="S153" s="1004">
        <v>0</v>
      </c>
      <c r="T153" s="1006">
        <v>0</v>
      </c>
      <c r="U153" s="1010">
        <v>0</v>
      </c>
      <c r="V153" s="1003">
        <v>0</v>
      </c>
      <c r="W153" s="990" t="s">
        <v>784</v>
      </c>
      <c r="X153" s="646" t="s">
        <v>48</v>
      </c>
      <c r="Y153" s="1007" t="s">
        <v>571</v>
      </c>
      <c r="Z153" s="1304" t="s">
        <v>839</v>
      </c>
      <c r="AA153" s="1008" t="s">
        <v>839</v>
      </c>
    </row>
    <row r="154" spans="1:27" x14ac:dyDescent="0.25">
      <c r="A154" s="994" t="s">
        <v>1320</v>
      </c>
      <c r="B154" s="995" t="s">
        <v>802</v>
      </c>
      <c r="C154" s="990">
        <v>2019</v>
      </c>
      <c r="D154" s="646" t="s">
        <v>784</v>
      </c>
      <c r="E154" s="996" t="s">
        <v>78</v>
      </c>
      <c r="F154" s="997" t="s">
        <v>78</v>
      </c>
      <c r="G154" s="926" t="s">
        <v>1321</v>
      </c>
      <c r="H154" s="696">
        <v>3682.0445</v>
      </c>
      <c r="I154" s="697">
        <v>0</v>
      </c>
      <c r="J154" s="696">
        <v>0</v>
      </c>
      <c r="K154" s="999">
        <v>3682.0445</v>
      </c>
      <c r="L154" s="1000">
        <v>0</v>
      </c>
      <c r="M154" s="1001">
        <v>3682.0445</v>
      </c>
      <c r="N154" s="1002">
        <f t="shared" si="9"/>
        <v>3682.0445</v>
      </c>
      <c r="O154" s="1003">
        <v>0</v>
      </c>
      <c r="P154" s="1004">
        <v>0</v>
      </c>
      <c r="Q154" s="1003">
        <v>0</v>
      </c>
      <c r="R154" s="998">
        <v>0</v>
      </c>
      <c r="S154" s="1004">
        <v>0</v>
      </c>
      <c r="T154" s="1006">
        <v>0</v>
      </c>
      <c r="U154" s="1010">
        <v>0</v>
      </c>
      <c r="V154" s="1003">
        <v>0</v>
      </c>
      <c r="W154" s="990" t="s">
        <v>784</v>
      </c>
      <c r="X154" s="646" t="s">
        <v>48</v>
      </c>
      <c r="Y154" s="1007" t="s">
        <v>571</v>
      </c>
      <c r="Z154" s="1304" t="s">
        <v>839</v>
      </c>
      <c r="AA154" s="1008" t="s">
        <v>839</v>
      </c>
    </row>
    <row r="155" spans="1:27" ht="45" x14ac:dyDescent="0.25">
      <c r="A155" s="994" t="s">
        <v>1322</v>
      </c>
      <c r="B155" s="995" t="s">
        <v>802</v>
      </c>
      <c r="C155" s="990">
        <v>2019</v>
      </c>
      <c r="D155" s="646" t="s">
        <v>784</v>
      </c>
      <c r="E155" s="996" t="s">
        <v>78</v>
      </c>
      <c r="F155" s="997" t="s">
        <v>78</v>
      </c>
      <c r="G155" s="926" t="s">
        <v>1323</v>
      </c>
      <c r="H155" s="696">
        <v>2420.4204599999998</v>
      </c>
      <c r="I155" s="697">
        <v>0</v>
      </c>
      <c r="J155" s="696">
        <v>0</v>
      </c>
      <c r="K155" s="999">
        <v>2420.4204599999998</v>
      </c>
      <c r="L155" s="1000">
        <v>0</v>
      </c>
      <c r="M155" s="1001">
        <v>2420.4204599999998</v>
      </c>
      <c r="N155" s="1002">
        <f t="shared" si="9"/>
        <v>2420.4204599999998</v>
      </c>
      <c r="O155" s="1003">
        <v>0</v>
      </c>
      <c r="P155" s="1004">
        <v>0</v>
      </c>
      <c r="Q155" s="1003">
        <v>0</v>
      </c>
      <c r="R155" s="998">
        <v>0</v>
      </c>
      <c r="S155" s="1004">
        <v>0</v>
      </c>
      <c r="T155" s="1006">
        <v>0</v>
      </c>
      <c r="U155" s="1010">
        <v>0</v>
      </c>
      <c r="V155" s="1003">
        <v>0</v>
      </c>
      <c r="W155" s="990" t="s">
        <v>784</v>
      </c>
      <c r="X155" s="646" t="s">
        <v>48</v>
      </c>
      <c r="Y155" s="1007" t="s">
        <v>571</v>
      </c>
      <c r="Z155" s="1304" t="s">
        <v>839</v>
      </c>
      <c r="AA155" s="1008" t="s">
        <v>839</v>
      </c>
    </row>
    <row r="156" spans="1:27" ht="30" x14ac:dyDescent="0.25">
      <c r="A156" s="994" t="s">
        <v>1324</v>
      </c>
      <c r="B156" s="995" t="s">
        <v>802</v>
      </c>
      <c r="C156" s="990">
        <v>2019</v>
      </c>
      <c r="D156" s="646" t="s">
        <v>784</v>
      </c>
      <c r="E156" s="996" t="s">
        <v>78</v>
      </c>
      <c r="F156" s="997" t="s">
        <v>78</v>
      </c>
      <c r="G156" s="926" t="s">
        <v>1325</v>
      </c>
      <c r="H156" s="696">
        <v>2503.9971800000003</v>
      </c>
      <c r="I156" s="697">
        <v>0</v>
      </c>
      <c r="J156" s="696">
        <v>0</v>
      </c>
      <c r="K156" s="999">
        <v>2503.9971800000003</v>
      </c>
      <c r="L156" s="1000">
        <v>0</v>
      </c>
      <c r="M156" s="1001">
        <v>2503.9971800000003</v>
      </c>
      <c r="N156" s="1002">
        <f t="shared" si="9"/>
        <v>2503.9971800000003</v>
      </c>
      <c r="O156" s="1003">
        <v>0</v>
      </c>
      <c r="P156" s="1004">
        <v>0</v>
      </c>
      <c r="Q156" s="1003">
        <v>0</v>
      </c>
      <c r="R156" s="998">
        <v>0</v>
      </c>
      <c r="S156" s="1004">
        <v>0</v>
      </c>
      <c r="T156" s="1006">
        <v>0</v>
      </c>
      <c r="U156" s="1010">
        <v>0</v>
      </c>
      <c r="V156" s="1003">
        <v>0</v>
      </c>
      <c r="W156" s="990" t="s">
        <v>784</v>
      </c>
      <c r="X156" s="646" t="s">
        <v>48</v>
      </c>
      <c r="Y156" s="1007" t="s">
        <v>571</v>
      </c>
      <c r="Z156" s="1304" t="s">
        <v>839</v>
      </c>
      <c r="AA156" s="1008" t="s">
        <v>839</v>
      </c>
    </row>
    <row r="157" spans="1:27" ht="30" x14ac:dyDescent="0.25">
      <c r="A157" s="994" t="s">
        <v>1326</v>
      </c>
      <c r="B157" s="995" t="s">
        <v>802</v>
      </c>
      <c r="C157" s="990">
        <v>2019</v>
      </c>
      <c r="D157" s="646" t="s">
        <v>784</v>
      </c>
      <c r="E157" s="996" t="s">
        <v>78</v>
      </c>
      <c r="F157" s="997" t="s">
        <v>78</v>
      </c>
      <c r="G157" s="926" t="s">
        <v>1327</v>
      </c>
      <c r="H157" s="696">
        <v>2372.7525499999997</v>
      </c>
      <c r="I157" s="697">
        <v>0</v>
      </c>
      <c r="J157" s="696">
        <v>0</v>
      </c>
      <c r="K157" s="999">
        <v>2372.7525499999997</v>
      </c>
      <c r="L157" s="1000">
        <v>0</v>
      </c>
      <c r="M157" s="1001">
        <v>2372.7525499999997</v>
      </c>
      <c r="N157" s="1002">
        <f t="shared" si="9"/>
        <v>2372.7525499999997</v>
      </c>
      <c r="O157" s="1003">
        <v>0</v>
      </c>
      <c r="P157" s="1004">
        <v>0</v>
      </c>
      <c r="Q157" s="1003">
        <v>0</v>
      </c>
      <c r="R157" s="998">
        <v>0</v>
      </c>
      <c r="S157" s="1004">
        <v>0</v>
      </c>
      <c r="T157" s="1006">
        <v>0</v>
      </c>
      <c r="U157" s="1010">
        <v>0</v>
      </c>
      <c r="V157" s="1003">
        <v>0</v>
      </c>
      <c r="W157" s="990" t="s">
        <v>784</v>
      </c>
      <c r="X157" s="646" t="s">
        <v>48</v>
      </c>
      <c r="Y157" s="1007" t="s">
        <v>571</v>
      </c>
      <c r="Z157" s="1304" t="s">
        <v>839</v>
      </c>
      <c r="AA157" s="1008" t="s">
        <v>839</v>
      </c>
    </row>
    <row r="158" spans="1:27" ht="30" x14ac:dyDescent="0.25">
      <c r="A158" s="994" t="s">
        <v>1328</v>
      </c>
      <c r="B158" s="995" t="s">
        <v>802</v>
      </c>
      <c r="C158" s="990">
        <v>2019</v>
      </c>
      <c r="D158" s="646" t="s">
        <v>784</v>
      </c>
      <c r="E158" s="996" t="s">
        <v>78</v>
      </c>
      <c r="F158" s="997" t="s">
        <v>78</v>
      </c>
      <c r="G158" s="926" t="s">
        <v>1543</v>
      </c>
      <c r="H158" s="696">
        <v>5852.6400400000002</v>
      </c>
      <c r="I158" s="697">
        <v>0</v>
      </c>
      <c r="J158" s="696">
        <v>0</v>
      </c>
      <c r="K158" s="999">
        <v>5852.6400400000002</v>
      </c>
      <c r="L158" s="1000">
        <v>0</v>
      </c>
      <c r="M158" s="1001">
        <v>5852.6400400000002</v>
      </c>
      <c r="N158" s="1002">
        <f t="shared" si="9"/>
        <v>5852.6400400000002</v>
      </c>
      <c r="O158" s="1003">
        <v>0</v>
      </c>
      <c r="P158" s="1004">
        <v>0</v>
      </c>
      <c r="Q158" s="1003">
        <v>0</v>
      </c>
      <c r="R158" s="998">
        <v>0</v>
      </c>
      <c r="S158" s="1004">
        <v>0</v>
      </c>
      <c r="T158" s="1006">
        <v>0</v>
      </c>
      <c r="U158" s="1010">
        <v>0</v>
      </c>
      <c r="V158" s="1003">
        <v>0</v>
      </c>
      <c r="W158" s="990" t="s">
        <v>784</v>
      </c>
      <c r="X158" s="646" t="s">
        <v>48</v>
      </c>
      <c r="Y158" s="1007" t="s">
        <v>571</v>
      </c>
      <c r="Z158" s="1304" t="s">
        <v>839</v>
      </c>
      <c r="AA158" s="1008" t="s">
        <v>839</v>
      </c>
    </row>
    <row r="159" spans="1:27" ht="30" x14ac:dyDescent="0.25">
      <c r="A159" s="994" t="s">
        <v>1329</v>
      </c>
      <c r="B159" s="995" t="s">
        <v>802</v>
      </c>
      <c r="C159" s="990">
        <v>2019</v>
      </c>
      <c r="D159" s="646" t="s">
        <v>784</v>
      </c>
      <c r="E159" s="996" t="s">
        <v>78</v>
      </c>
      <c r="F159" s="997" t="s">
        <v>78</v>
      </c>
      <c r="G159" s="926" t="s">
        <v>1330</v>
      </c>
      <c r="H159" s="696">
        <v>3919.8879999999999</v>
      </c>
      <c r="I159" s="697">
        <v>0</v>
      </c>
      <c r="J159" s="696">
        <v>0</v>
      </c>
      <c r="K159" s="999">
        <v>3919.8879999999999</v>
      </c>
      <c r="L159" s="1000">
        <v>0</v>
      </c>
      <c r="M159" s="1001">
        <v>3919.8879999999999</v>
      </c>
      <c r="N159" s="1002">
        <f t="shared" si="9"/>
        <v>3919.8879999999999</v>
      </c>
      <c r="O159" s="1003">
        <v>0</v>
      </c>
      <c r="P159" s="1004">
        <v>0</v>
      </c>
      <c r="Q159" s="1003">
        <v>0</v>
      </c>
      <c r="R159" s="998">
        <v>0</v>
      </c>
      <c r="S159" s="1004">
        <v>0</v>
      </c>
      <c r="T159" s="1006">
        <v>0</v>
      </c>
      <c r="U159" s="1010">
        <v>0</v>
      </c>
      <c r="V159" s="1003">
        <v>0</v>
      </c>
      <c r="W159" s="990" t="s">
        <v>784</v>
      </c>
      <c r="X159" s="646" t="s">
        <v>48</v>
      </c>
      <c r="Y159" s="1007" t="s">
        <v>571</v>
      </c>
      <c r="Z159" s="1304" t="s">
        <v>839</v>
      </c>
      <c r="AA159" s="1008" t="s">
        <v>839</v>
      </c>
    </row>
    <row r="160" spans="1:27" ht="30" x14ac:dyDescent="0.25">
      <c r="A160" s="994" t="s">
        <v>1331</v>
      </c>
      <c r="B160" s="995" t="s">
        <v>802</v>
      </c>
      <c r="C160" s="990">
        <v>2019</v>
      </c>
      <c r="D160" s="646" t="s">
        <v>784</v>
      </c>
      <c r="E160" s="996" t="s">
        <v>78</v>
      </c>
      <c r="F160" s="997" t="s">
        <v>78</v>
      </c>
      <c r="G160" s="926" t="s">
        <v>1332</v>
      </c>
      <c r="H160" s="696">
        <v>3396.4038100000002</v>
      </c>
      <c r="I160" s="697">
        <v>0</v>
      </c>
      <c r="J160" s="696">
        <v>0</v>
      </c>
      <c r="K160" s="999">
        <v>3396.4038100000002</v>
      </c>
      <c r="L160" s="1000">
        <v>0</v>
      </c>
      <c r="M160" s="1001">
        <v>3396.4038100000002</v>
      </c>
      <c r="N160" s="1002">
        <f t="shared" si="9"/>
        <v>3396.4038100000002</v>
      </c>
      <c r="O160" s="1003">
        <v>0</v>
      </c>
      <c r="P160" s="1004">
        <v>0</v>
      </c>
      <c r="Q160" s="1003">
        <v>0</v>
      </c>
      <c r="R160" s="998">
        <v>0</v>
      </c>
      <c r="S160" s="1004">
        <v>0</v>
      </c>
      <c r="T160" s="1006">
        <v>0</v>
      </c>
      <c r="U160" s="1010">
        <v>0</v>
      </c>
      <c r="V160" s="1003">
        <v>0</v>
      </c>
      <c r="W160" s="990" t="s">
        <v>784</v>
      </c>
      <c r="X160" s="646" t="s">
        <v>48</v>
      </c>
      <c r="Y160" s="1007" t="s">
        <v>571</v>
      </c>
      <c r="Z160" s="1304" t="s">
        <v>839</v>
      </c>
      <c r="AA160" s="1008" t="s">
        <v>839</v>
      </c>
    </row>
    <row r="161" spans="1:27" ht="30" x14ac:dyDescent="0.25">
      <c r="A161" s="994" t="s">
        <v>1333</v>
      </c>
      <c r="B161" s="995" t="s">
        <v>802</v>
      </c>
      <c r="C161" s="990">
        <v>2019</v>
      </c>
      <c r="D161" s="646" t="s">
        <v>784</v>
      </c>
      <c r="E161" s="996" t="s">
        <v>78</v>
      </c>
      <c r="F161" s="997" t="s">
        <v>78</v>
      </c>
      <c r="G161" s="926" t="s">
        <v>1334</v>
      </c>
      <c r="H161" s="696">
        <v>4950.9879500000006</v>
      </c>
      <c r="I161" s="697">
        <v>0</v>
      </c>
      <c r="J161" s="696">
        <v>0</v>
      </c>
      <c r="K161" s="999">
        <v>4950.9879500000006</v>
      </c>
      <c r="L161" s="1000">
        <v>0</v>
      </c>
      <c r="M161" s="1001">
        <v>4950.9879500000006</v>
      </c>
      <c r="N161" s="1002">
        <f t="shared" si="9"/>
        <v>4950.9879500000006</v>
      </c>
      <c r="O161" s="1003">
        <v>0</v>
      </c>
      <c r="P161" s="1004">
        <v>0</v>
      </c>
      <c r="Q161" s="1003">
        <v>0</v>
      </c>
      <c r="R161" s="998">
        <v>0</v>
      </c>
      <c r="S161" s="1004">
        <v>0</v>
      </c>
      <c r="T161" s="1006">
        <v>0</v>
      </c>
      <c r="U161" s="1010">
        <v>0</v>
      </c>
      <c r="V161" s="1003">
        <v>0</v>
      </c>
      <c r="W161" s="990" t="s">
        <v>784</v>
      </c>
      <c r="X161" s="646" t="s">
        <v>48</v>
      </c>
      <c r="Y161" s="1007" t="s">
        <v>571</v>
      </c>
      <c r="Z161" s="1304" t="s">
        <v>839</v>
      </c>
      <c r="AA161" s="1008" t="s">
        <v>839</v>
      </c>
    </row>
    <row r="162" spans="1:27" ht="30" x14ac:dyDescent="0.25">
      <c r="A162" s="994" t="s">
        <v>1335</v>
      </c>
      <c r="B162" s="995" t="s">
        <v>802</v>
      </c>
      <c r="C162" s="990">
        <v>2019</v>
      </c>
      <c r="D162" s="646" t="s">
        <v>784</v>
      </c>
      <c r="E162" s="996" t="s">
        <v>78</v>
      </c>
      <c r="F162" s="997" t="s">
        <v>78</v>
      </c>
      <c r="G162" s="926" t="s">
        <v>1336</v>
      </c>
      <c r="H162" s="696">
        <v>7548</v>
      </c>
      <c r="I162" s="697">
        <v>0</v>
      </c>
      <c r="J162" s="696">
        <v>0</v>
      </c>
      <c r="K162" s="999">
        <v>7548</v>
      </c>
      <c r="L162" s="1000">
        <v>0</v>
      </c>
      <c r="M162" s="1001">
        <v>7548</v>
      </c>
      <c r="N162" s="1002">
        <f t="shared" si="9"/>
        <v>7548</v>
      </c>
      <c r="O162" s="1003">
        <v>0</v>
      </c>
      <c r="P162" s="1004">
        <v>0</v>
      </c>
      <c r="Q162" s="1003">
        <v>0</v>
      </c>
      <c r="R162" s="998">
        <v>0</v>
      </c>
      <c r="S162" s="1004">
        <v>0</v>
      </c>
      <c r="T162" s="1006">
        <v>0</v>
      </c>
      <c r="U162" s="1010">
        <v>0</v>
      </c>
      <c r="V162" s="1003">
        <v>0</v>
      </c>
      <c r="W162" s="990" t="s">
        <v>784</v>
      </c>
      <c r="X162" s="646" t="s">
        <v>48</v>
      </c>
      <c r="Y162" s="1007" t="s">
        <v>571</v>
      </c>
      <c r="Z162" s="1304" t="s">
        <v>839</v>
      </c>
      <c r="AA162" s="1008" t="s">
        <v>839</v>
      </c>
    </row>
    <row r="163" spans="1:27" ht="30" x14ac:dyDescent="0.25">
      <c r="A163" s="994" t="s">
        <v>1337</v>
      </c>
      <c r="B163" s="995" t="s">
        <v>802</v>
      </c>
      <c r="C163" s="990">
        <v>2019</v>
      </c>
      <c r="D163" s="646" t="s">
        <v>784</v>
      </c>
      <c r="E163" s="996" t="s">
        <v>78</v>
      </c>
      <c r="F163" s="997" t="s">
        <v>78</v>
      </c>
      <c r="G163" s="926" t="s">
        <v>1338</v>
      </c>
      <c r="H163" s="696">
        <v>5968.3934600000002</v>
      </c>
      <c r="I163" s="697">
        <v>0</v>
      </c>
      <c r="J163" s="696">
        <v>0</v>
      </c>
      <c r="K163" s="999">
        <v>5968.3934600000002</v>
      </c>
      <c r="L163" s="1000">
        <v>0</v>
      </c>
      <c r="M163" s="1001">
        <v>5968.3934600000002</v>
      </c>
      <c r="N163" s="1002">
        <f t="shared" si="9"/>
        <v>5968.3934600000002</v>
      </c>
      <c r="O163" s="1003">
        <v>0</v>
      </c>
      <c r="P163" s="1004">
        <v>0</v>
      </c>
      <c r="Q163" s="1003">
        <v>0</v>
      </c>
      <c r="R163" s="998">
        <v>0</v>
      </c>
      <c r="S163" s="1004">
        <v>0</v>
      </c>
      <c r="T163" s="1006">
        <v>0</v>
      </c>
      <c r="U163" s="1010">
        <v>0</v>
      </c>
      <c r="V163" s="1003">
        <v>0</v>
      </c>
      <c r="W163" s="990" t="s">
        <v>784</v>
      </c>
      <c r="X163" s="646" t="s">
        <v>48</v>
      </c>
      <c r="Y163" s="1007" t="s">
        <v>571</v>
      </c>
      <c r="Z163" s="1304" t="s">
        <v>839</v>
      </c>
      <c r="AA163" s="1008" t="s">
        <v>839</v>
      </c>
    </row>
    <row r="164" spans="1:27" x14ac:dyDescent="0.25">
      <c r="A164" s="994" t="s">
        <v>1339</v>
      </c>
      <c r="B164" s="995" t="s">
        <v>802</v>
      </c>
      <c r="C164" s="990">
        <v>2019</v>
      </c>
      <c r="D164" s="646" t="s">
        <v>784</v>
      </c>
      <c r="E164" s="996" t="s">
        <v>78</v>
      </c>
      <c r="F164" s="997" t="s">
        <v>78</v>
      </c>
      <c r="G164" s="926" t="s">
        <v>1340</v>
      </c>
      <c r="H164" s="696">
        <v>2959</v>
      </c>
      <c r="I164" s="697">
        <v>0</v>
      </c>
      <c r="J164" s="696">
        <v>0</v>
      </c>
      <c r="K164" s="999">
        <v>2959</v>
      </c>
      <c r="L164" s="1000">
        <v>0</v>
      </c>
      <c r="M164" s="1001">
        <v>2959</v>
      </c>
      <c r="N164" s="1002">
        <f t="shared" si="9"/>
        <v>2959</v>
      </c>
      <c r="O164" s="1003">
        <v>0</v>
      </c>
      <c r="P164" s="1004">
        <v>0</v>
      </c>
      <c r="Q164" s="1003">
        <v>0</v>
      </c>
      <c r="R164" s="998">
        <v>0</v>
      </c>
      <c r="S164" s="1004">
        <v>0</v>
      </c>
      <c r="T164" s="1006">
        <v>0</v>
      </c>
      <c r="U164" s="1010">
        <v>0</v>
      </c>
      <c r="V164" s="1003">
        <v>0</v>
      </c>
      <c r="W164" s="990" t="s">
        <v>784</v>
      </c>
      <c r="X164" s="646" t="s">
        <v>48</v>
      </c>
      <c r="Y164" s="1007" t="s">
        <v>571</v>
      </c>
      <c r="Z164" s="1304" t="s">
        <v>839</v>
      </c>
      <c r="AA164" s="1008" t="s">
        <v>839</v>
      </c>
    </row>
    <row r="165" spans="1:27" x14ac:dyDescent="0.25">
      <c r="A165" s="994" t="s">
        <v>1341</v>
      </c>
      <c r="B165" s="995" t="s">
        <v>802</v>
      </c>
      <c r="C165" s="990">
        <v>2019</v>
      </c>
      <c r="D165" s="646" t="s">
        <v>784</v>
      </c>
      <c r="E165" s="996" t="s">
        <v>78</v>
      </c>
      <c r="F165" s="997" t="s">
        <v>78</v>
      </c>
      <c r="G165" s="926" t="s">
        <v>1342</v>
      </c>
      <c r="H165" s="696">
        <v>2150.3484900000003</v>
      </c>
      <c r="I165" s="697">
        <v>0</v>
      </c>
      <c r="J165" s="696">
        <v>0</v>
      </c>
      <c r="K165" s="999">
        <v>2150.3484900000003</v>
      </c>
      <c r="L165" s="1000">
        <v>0</v>
      </c>
      <c r="M165" s="1001">
        <v>2150.3484900000003</v>
      </c>
      <c r="N165" s="1002">
        <f t="shared" si="9"/>
        <v>2150.3484900000003</v>
      </c>
      <c r="O165" s="1003">
        <v>0</v>
      </c>
      <c r="P165" s="1004">
        <v>0</v>
      </c>
      <c r="Q165" s="1003">
        <v>0</v>
      </c>
      <c r="R165" s="998">
        <v>0</v>
      </c>
      <c r="S165" s="1004">
        <v>0</v>
      </c>
      <c r="T165" s="1006">
        <v>0</v>
      </c>
      <c r="U165" s="1010">
        <v>0</v>
      </c>
      <c r="V165" s="1003">
        <v>0</v>
      </c>
      <c r="W165" s="990" t="s">
        <v>784</v>
      </c>
      <c r="X165" s="646" t="s">
        <v>48</v>
      </c>
      <c r="Y165" s="1007" t="s">
        <v>571</v>
      </c>
      <c r="Z165" s="1304" t="s">
        <v>839</v>
      </c>
      <c r="AA165" s="1008" t="s">
        <v>839</v>
      </c>
    </row>
    <row r="166" spans="1:27" ht="30" x14ac:dyDescent="0.25">
      <c r="A166" s="994" t="s">
        <v>1343</v>
      </c>
      <c r="B166" s="995" t="s">
        <v>802</v>
      </c>
      <c r="C166" s="990">
        <v>2019</v>
      </c>
      <c r="D166" s="646" t="s">
        <v>784</v>
      </c>
      <c r="E166" s="996" t="s">
        <v>78</v>
      </c>
      <c r="F166" s="997" t="s">
        <v>78</v>
      </c>
      <c r="G166" s="926" t="s">
        <v>1344</v>
      </c>
      <c r="H166" s="696">
        <v>1501.6971000000001</v>
      </c>
      <c r="I166" s="697">
        <v>0</v>
      </c>
      <c r="J166" s="696">
        <v>0</v>
      </c>
      <c r="K166" s="999">
        <v>1501.6971000000001</v>
      </c>
      <c r="L166" s="1000">
        <v>0</v>
      </c>
      <c r="M166" s="1001">
        <v>1501.6971000000001</v>
      </c>
      <c r="N166" s="1002">
        <f t="shared" si="9"/>
        <v>1501.6971000000001</v>
      </c>
      <c r="O166" s="1003">
        <v>0</v>
      </c>
      <c r="P166" s="1004">
        <v>0</v>
      </c>
      <c r="Q166" s="1003">
        <v>0</v>
      </c>
      <c r="R166" s="998">
        <v>0</v>
      </c>
      <c r="S166" s="1004">
        <v>0</v>
      </c>
      <c r="T166" s="1006">
        <v>0</v>
      </c>
      <c r="U166" s="1010">
        <v>0</v>
      </c>
      <c r="V166" s="1003">
        <v>0</v>
      </c>
      <c r="W166" s="990" t="s">
        <v>784</v>
      </c>
      <c r="X166" s="646" t="s">
        <v>48</v>
      </c>
      <c r="Y166" s="1007" t="s">
        <v>571</v>
      </c>
      <c r="Z166" s="1304" t="s">
        <v>839</v>
      </c>
      <c r="AA166" s="1008" t="s">
        <v>839</v>
      </c>
    </row>
    <row r="167" spans="1:27" ht="30" x14ac:dyDescent="0.25">
      <c r="A167" s="994" t="s">
        <v>1345</v>
      </c>
      <c r="B167" s="995" t="s">
        <v>802</v>
      </c>
      <c r="C167" s="990">
        <v>2019</v>
      </c>
      <c r="D167" s="646" t="s">
        <v>784</v>
      </c>
      <c r="E167" s="996" t="s">
        <v>78</v>
      </c>
      <c r="F167" s="997" t="s">
        <v>78</v>
      </c>
      <c r="G167" s="926" t="s">
        <v>1346</v>
      </c>
      <c r="H167" s="696">
        <v>6836</v>
      </c>
      <c r="I167" s="697">
        <v>0</v>
      </c>
      <c r="J167" s="696">
        <v>0</v>
      </c>
      <c r="K167" s="999">
        <v>6836</v>
      </c>
      <c r="L167" s="1000">
        <v>0</v>
      </c>
      <c r="M167" s="1001">
        <v>6836</v>
      </c>
      <c r="N167" s="1002">
        <f t="shared" si="9"/>
        <v>6836</v>
      </c>
      <c r="O167" s="1003">
        <v>0</v>
      </c>
      <c r="P167" s="1004">
        <v>0</v>
      </c>
      <c r="Q167" s="1003">
        <v>0</v>
      </c>
      <c r="R167" s="998">
        <v>0</v>
      </c>
      <c r="S167" s="1004">
        <v>0</v>
      </c>
      <c r="T167" s="1006">
        <v>0</v>
      </c>
      <c r="U167" s="1010">
        <v>0</v>
      </c>
      <c r="V167" s="1003">
        <v>0</v>
      </c>
      <c r="W167" s="990" t="s">
        <v>784</v>
      </c>
      <c r="X167" s="646" t="s">
        <v>48</v>
      </c>
      <c r="Y167" s="1007" t="s">
        <v>27</v>
      </c>
      <c r="Z167" s="1304" t="s">
        <v>839</v>
      </c>
      <c r="AA167" s="1008" t="s">
        <v>839</v>
      </c>
    </row>
    <row r="168" spans="1:27" x14ac:dyDescent="0.25">
      <c r="A168" s="994" t="s">
        <v>1347</v>
      </c>
      <c r="B168" s="995" t="s">
        <v>802</v>
      </c>
      <c r="C168" s="990">
        <v>2019</v>
      </c>
      <c r="D168" s="646" t="s">
        <v>784</v>
      </c>
      <c r="E168" s="996" t="s">
        <v>78</v>
      </c>
      <c r="F168" s="997" t="s">
        <v>78</v>
      </c>
      <c r="G168" s="926" t="s">
        <v>1348</v>
      </c>
      <c r="H168" s="696">
        <v>1971</v>
      </c>
      <c r="I168" s="697">
        <v>0</v>
      </c>
      <c r="J168" s="696">
        <v>0</v>
      </c>
      <c r="K168" s="999">
        <v>1971</v>
      </c>
      <c r="L168" s="1000">
        <v>0</v>
      </c>
      <c r="M168" s="1001">
        <v>1971</v>
      </c>
      <c r="N168" s="1002">
        <f t="shared" si="9"/>
        <v>1971</v>
      </c>
      <c r="O168" s="1003">
        <v>0</v>
      </c>
      <c r="P168" s="1004">
        <v>0</v>
      </c>
      <c r="Q168" s="1003">
        <v>0</v>
      </c>
      <c r="R168" s="998">
        <v>0</v>
      </c>
      <c r="S168" s="1004">
        <v>0</v>
      </c>
      <c r="T168" s="1006">
        <v>0</v>
      </c>
      <c r="U168" s="1010">
        <v>0</v>
      </c>
      <c r="V168" s="1003">
        <v>0</v>
      </c>
      <c r="W168" s="990" t="s">
        <v>784</v>
      </c>
      <c r="X168" s="646" t="s">
        <v>48</v>
      </c>
      <c r="Y168" s="1007" t="s">
        <v>571</v>
      </c>
      <c r="Z168" s="1304" t="s">
        <v>839</v>
      </c>
      <c r="AA168" s="1008" t="s">
        <v>839</v>
      </c>
    </row>
    <row r="169" spans="1:27" x14ac:dyDescent="0.25">
      <c r="A169" s="994" t="s">
        <v>1349</v>
      </c>
      <c r="B169" s="995" t="s">
        <v>802</v>
      </c>
      <c r="C169" s="990">
        <v>2019</v>
      </c>
      <c r="D169" s="646" t="s">
        <v>784</v>
      </c>
      <c r="E169" s="996" t="s">
        <v>78</v>
      </c>
      <c r="F169" s="997" t="s">
        <v>78</v>
      </c>
      <c r="G169" s="926" t="s">
        <v>1350</v>
      </c>
      <c r="H169" s="696">
        <v>2806.5693300000003</v>
      </c>
      <c r="I169" s="697">
        <v>0</v>
      </c>
      <c r="J169" s="696">
        <v>0</v>
      </c>
      <c r="K169" s="999">
        <v>2806.5693300000003</v>
      </c>
      <c r="L169" s="1000">
        <v>0</v>
      </c>
      <c r="M169" s="1001">
        <v>2806.5693300000003</v>
      </c>
      <c r="N169" s="1002">
        <f t="shared" si="9"/>
        <v>2806.5693300000003</v>
      </c>
      <c r="O169" s="1003">
        <v>0</v>
      </c>
      <c r="P169" s="1004">
        <v>0</v>
      </c>
      <c r="Q169" s="1003">
        <v>0</v>
      </c>
      <c r="R169" s="998">
        <v>0</v>
      </c>
      <c r="S169" s="1004">
        <v>0</v>
      </c>
      <c r="T169" s="1006">
        <v>0</v>
      </c>
      <c r="U169" s="1010">
        <v>0</v>
      </c>
      <c r="V169" s="1003">
        <v>0</v>
      </c>
      <c r="W169" s="990" t="s">
        <v>784</v>
      </c>
      <c r="X169" s="646" t="s">
        <v>48</v>
      </c>
      <c r="Y169" s="1007" t="s">
        <v>571</v>
      </c>
      <c r="Z169" s="1304" t="s">
        <v>839</v>
      </c>
      <c r="AA169" s="1008" t="s">
        <v>839</v>
      </c>
    </row>
    <row r="170" spans="1:27" x14ac:dyDescent="0.25">
      <c r="A170" s="994" t="s">
        <v>1351</v>
      </c>
      <c r="B170" s="995" t="s">
        <v>802</v>
      </c>
      <c r="C170" s="990">
        <v>2019</v>
      </c>
      <c r="D170" s="646" t="s">
        <v>784</v>
      </c>
      <c r="E170" s="996" t="s">
        <v>78</v>
      </c>
      <c r="F170" s="997" t="s">
        <v>78</v>
      </c>
      <c r="G170" s="928" t="s">
        <v>1352</v>
      </c>
      <c r="H170" s="696">
        <v>1909.67524</v>
      </c>
      <c r="I170" s="697">
        <v>0</v>
      </c>
      <c r="J170" s="696">
        <v>0</v>
      </c>
      <c r="K170" s="999">
        <v>1909.67524</v>
      </c>
      <c r="L170" s="1000">
        <v>0</v>
      </c>
      <c r="M170" s="1001">
        <v>1909.67524</v>
      </c>
      <c r="N170" s="1002">
        <f t="shared" si="9"/>
        <v>1909.67524</v>
      </c>
      <c r="O170" s="1003">
        <v>0</v>
      </c>
      <c r="P170" s="1004">
        <v>0</v>
      </c>
      <c r="Q170" s="1003">
        <v>0</v>
      </c>
      <c r="R170" s="998">
        <v>0</v>
      </c>
      <c r="S170" s="1004">
        <v>0</v>
      </c>
      <c r="T170" s="1006">
        <v>0</v>
      </c>
      <c r="U170" s="1010">
        <v>0</v>
      </c>
      <c r="V170" s="1003">
        <v>0</v>
      </c>
      <c r="W170" s="990" t="s">
        <v>784</v>
      </c>
      <c r="X170" s="646" t="s">
        <v>48</v>
      </c>
      <c r="Y170" s="1007" t="s">
        <v>571</v>
      </c>
      <c r="Z170" s="1304" t="s">
        <v>839</v>
      </c>
      <c r="AA170" s="1008" t="s">
        <v>839</v>
      </c>
    </row>
    <row r="171" spans="1:27" x14ac:dyDescent="0.25">
      <c r="A171" s="994" t="s">
        <v>1353</v>
      </c>
      <c r="B171" s="995" t="s">
        <v>802</v>
      </c>
      <c r="C171" s="990">
        <v>2019</v>
      </c>
      <c r="D171" s="646" t="s">
        <v>784</v>
      </c>
      <c r="E171" s="996" t="s">
        <v>78</v>
      </c>
      <c r="F171" s="997" t="s">
        <v>78</v>
      </c>
      <c r="G171" s="928" t="s">
        <v>1354</v>
      </c>
      <c r="H171" s="696">
        <v>3417.5469900000003</v>
      </c>
      <c r="I171" s="697">
        <v>0</v>
      </c>
      <c r="J171" s="696">
        <v>0</v>
      </c>
      <c r="K171" s="999">
        <v>3417.5469900000003</v>
      </c>
      <c r="L171" s="1000">
        <v>0</v>
      </c>
      <c r="M171" s="1001">
        <v>3417.5469900000003</v>
      </c>
      <c r="N171" s="1002">
        <f t="shared" si="9"/>
        <v>3417.5469900000003</v>
      </c>
      <c r="O171" s="1003">
        <v>0</v>
      </c>
      <c r="P171" s="1004">
        <v>0</v>
      </c>
      <c r="Q171" s="1003">
        <v>0</v>
      </c>
      <c r="R171" s="998">
        <v>0</v>
      </c>
      <c r="S171" s="1004">
        <v>0</v>
      </c>
      <c r="T171" s="1006">
        <v>0</v>
      </c>
      <c r="U171" s="1010">
        <v>0</v>
      </c>
      <c r="V171" s="1003">
        <v>0</v>
      </c>
      <c r="W171" s="990" t="s">
        <v>784</v>
      </c>
      <c r="X171" s="646" t="s">
        <v>48</v>
      </c>
      <c r="Y171" s="1007" t="s">
        <v>571</v>
      </c>
      <c r="Z171" s="1304" t="s">
        <v>839</v>
      </c>
      <c r="AA171" s="1008" t="s">
        <v>839</v>
      </c>
    </row>
    <row r="172" spans="1:27" x14ac:dyDescent="0.25">
      <c r="A172" s="994" t="s">
        <v>1355</v>
      </c>
      <c r="B172" s="995" t="s">
        <v>802</v>
      </c>
      <c r="C172" s="990">
        <v>2019</v>
      </c>
      <c r="D172" s="646" t="s">
        <v>784</v>
      </c>
      <c r="E172" s="996" t="s">
        <v>78</v>
      </c>
      <c r="F172" s="997" t="s">
        <v>78</v>
      </c>
      <c r="G172" s="928" t="s">
        <v>1356</v>
      </c>
      <c r="H172" s="696">
        <v>4256.6402500000004</v>
      </c>
      <c r="I172" s="697">
        <v>0</v>
      </c>
      <c r="J172" s="696">
        <v>0</v>
      </c>
      <c r="K172" s="999">
        <v>4256.6402500000004</v>
      </c>
      <c r="L172" s="1000">
        <v>0</v>
      </c>
      <c r="M172" s="1001">
        <v>4256.6402500000004</v>
      </c>
      <c r="N172" s="1002">
        <f t="shared" si="9"/>
        <v>4256.6402500000004</v>
      </c>
      <c r="O172" s="1003">
        <v>0</v>
      </c>
      <c r="P172" s="1004">
        <v>0</v>
      </c>
      <c r="Q172" s="1003">
        <v>0</v>
      </c>
      <c r="R172" s="998">
        <v>0</v>
      </c>
      <c r="S172" s="1004">
        <v>0</v>
      </c>
      <c r="T172" s="1006">
        <v>0</v>
      </c>
      <c r="U172" s="1010">
        <v>0</v>
      </c>
      <c r="V172" s="1003">
        <v>0</v>
      </c>
      <c r="W172" s="990" t="s">
        <v>784</v>
      </c>
      <c r="X172" s="646" t="s">
        <v>48</v>
      </c>
      <c r="Y172" s="1007" t="s">
        <v>571</v>
      </c>
      <c r="Z172" s="1304" t="s">
        <v>839</v>
      </c>
      <c r="AA172" s="1008" t="s">
        <v>839</v>
      </c>
    </row>
    <row r="173" spans="1:27" x14ac:dyDescent="0.25">
      <c r="A173" s="994" t="s">
        <v>1357</v>
      </c>
      <c r="B173" s="995" t="s">
        <v>802</v>
      </c>
      <c r="C173" s="990">
        <v>2019</v>
      </c>
      <c r="D173" s="646" t="s">
        <v>784</v>
      </c>
      <c r="E173" s="996" t="s">
        <v>78</v>
      </c>
      <c r="F173" s="997" t="s">
        <v>78</v>
      </c>
      <c r="G173" s="928" t="s">
        <v>1358</v>
      </c>
      <c r="H173" s="696">
        <v>2130.5592900000001</v>
      </c>
      <c r="I173" s="697">
        <v>0</v>
      </c>
      <c r="J173" s="696">
        <v>0</v>
      </c>
      <c r="K173" s="999">
        <v>2130.5592900000001</v>
      </c>
      <c r="L173" s="1000">
        <v>0</v>
      </c>
      <c r="M173" s="1001">
        <v>2130.5592900000001</v>
      </c>
      <c r="N173" s="1002">
        <f t="shared" si="9"/>
        <v>2130.5592900000001</v>
      </c>
      <c r="O173" s="1003">
        <v>0</v>
      </c>
      <c r="P173" s="1004">
        <v>0</v>
      </c>
      <c r="Q173" s="1003">
        <v>0</v>
      </c>
      <c r="R173" s="998">
        <v>0</v>
      </c>
      <c r="S173" s="1004">
        <v>0</v>
      </c>
      <c r="T173" s="1006">
        <v>0</v>
      </c>
      <c r="U173" s="1010">
        <v>0</v>
      </c>
      <c r="V173" s="1003">
        <v>0</v>
      </c>
      <c r="W173" s="990" t="s">
        <v>784</v>
      </c>
      <c r="X173" s="646" t="s">
        <v>48</v>
      </c>
      <c r="Y173" s="1007" t="s">
        <v>571</v>
      </c>
      <c r="Z173" s="1304" t="s">
        <v>839</v>
      </c>
      <c r="AA173" s="1008" t="s">
        <v>839</v>
      </c>
    </row>
    <row r="174" spans="1:27" x14ac:dyDescent="0.25">
      <c r="A174" s="994" t="s">
        <v>1359</v>
      </c>
      <c r="B174" s="995" t="s">
        <v>802</v>
      </c>
      <c r="C174" s="990">
        <v>2019</v>
      </c>
      <c r="D174" s="646" t="s">
        <v>784</v>
      </c>
      <c r="E174" s="996" t="s">
        <v>78</v>
      </c>
      <c r="F174" s="997" t="s">
        <v>78</v>
      </c>
      <c r="G174" s="928" t="s">
        <v>1360</v>
      </c>
      <c r="H174" s="696">
        <v>1775.3035300000001</v>
      </c>
      <c r="I174" s="697">
        <v>0</v>
      </c>
      <c r="J174" s="696">
        <v>0</v>
      </c>
      <c r="K174" s="999">
        <v>1775.3035300000001</v>
      </c>
      <c r="L174" s="1000">
        <v>0</v>
      </c>
      <c r="M174" s="1001">
        <v>1775.3035300000001</v>
      </c>
      <c r="N174" s="1002">
        <f t="shared" ref="N174:N201" si="10">L174+M174</f>
        <v>1775.3035300000001</v>
      </c>
      <c r="O174" s="1003">
        <v>0</v>
      </c>
      <c r="P174" s="1004">
        <v>0</v>
      </c>
      <c r="Q174" s="1003">
        <v>0</v>
      </c>
      <c r="R174" s="998">
        <v>0</v>
      </c>
      <c r="S174" s="1004">
        <v>0</v>
      </c>
      <c r="T174" s="1006">
        <v>0</v>
      </c>
      <c r="U174" s="1010">
        <v>0</v>
      </c>
      <c r="V174" s="1003">
        <v>0</v>
      </c>
      <c r="W174" s="990" t="s">
        <v>784</v>
      </c>
      <c r="X174" s="646" t="s">
        <v>48</v>
      </c>
      <c r="Y174" s="1007" t="s">
        <v>571</v>
      </c>
      <c r="Z174" s="1304" t="s">
        <v>839</v>
      </c>
      <c r="AA174" s="1008" t="s">
        <v>839</v>
      </c>
    </row>
    <row r="175" spans="1:27" x14ac:dyDescent="0.25">
      <c r="A175" s="994" t="s">
        <v>1361</v>
      </c>
      <c r="B175" s="995" t="s">
        <v>802</v>
      </c>
      <c r="C175" s="990">
        <v>2019</v>
      </c>
      <c r="D175" s="646" t="s">
        <v>784</v>
      </c>
      <c r="E175" s="996" t="s">
        <v>78</v>
      </c>
      <c r="F175" s="997" t="s">
        <v>78</v>
      </c>
      <c r="G175" s="928" t="s">
        <v>1362</v>
      </c>
      <c r="H175" s="696">
        <v>2758.2633700000001</v>
      </c>
      <c r="I175" s="697">
        <v>0</v>
      </c>
      <c r="J175" s="696">
        <v>0</v>
      </c>
      <c r="K175" s="999">
        <v>2758.2633700000001</v>
      </c>
      <c r="L175" s="1000">
        <v>0</v>
      </c>
      <c r="M175" s="1001">
        <v>2758.2633700000001</v>
      </c>
      <c r="N175" s="1002">
        <f t="shared" si="10"/>
        <v>2758.2633700000001</v>
      </c>
      <c r="O175" s="1003">
        <v>0</v>
      </c>
      <c r="P175" s="1004">
        <v>0</v>
      </c>
      <c r="Q175" s="1003">
        <v>0</v>
      </c>
      <c r="R175" s="998">
        <v>0</v>
      </c>
      <c r="S175" s="1004">
        <v>0</v>
      </c>
      <c r="T175" s="1006">
        <v>0</v>
      </c>
      <c r="U175" s="1010">
        <v>0</v>
      </c>
      <c r="V175" s="1003">
        <v>0</v>
      </c>
      <c r="W175" s="990" t="s">
        <v>784</v>
      </c>
      <c r="X175" s="646" t="s">
        <v>48</v>
      </c>
      <c r="Y175" s="1007" t="s">
        <v>571</v>
      </c>
      <c r="Z175" s="1304" t="s">
        <v>839</v>
      </c>
      <c r="AA175" s="1008" t="s">
        <v>839</v>
      </c>
    </row>
    <row r="176" spans="1:27" x14ac:dyDescent="0.25">
      <c r="A176" s="994" t="s">
        <v>1363</v>
      </c>
      <c r="B176" s="995" t="s">
        <v>802</v>
      </c>
      <c r="C176" s="990">
        <v>2019</v>
      </c>
      <c r="D176" s="646" t="s">
        <v>784</v>
      </c>
      <c r="E176" s="996" t="s">
        <v>78</v>
      </c>
      <c r="F176" s="997" t="s">
        <v>78</v>
      </c>
      <c r="G176" s="928" t="s">
        <v>1364</v>
      </c>
      <c r="H176" s="696">
        <v>3095.13886</v>
      </c>
      <c r="I176" s="697">
        <v>0</v>
      </c>
      <c r="J176" s="696">
        <v>0</v>
      </c>
      <c r="K176" s="999">
        <v>3095.13886</v>
      </c>
      <c r="L176" s="1000">
        <v>0</v>
      </c>
      <c r="M176" s="1001">
        <v>3095.13886</v>
      </c>
      <c r="N176" s="1002">
        <f t="shared" si="10"/>
        <v>3095.13886</v>
      </c>
      <c r="O176" s="1003">
        <v>0</v>
      </c>
      <c r="P176" s="1004">
        <v>0</v>
      </c>
      <c r="Q176" s="1003">
        <v>0</v>
      </c>
      <c r="R176" s="998">
        <v>0</v>
      </c>
      <c r="S176" s="1004">
        <v>0</v>
      </c>
      <c r="T176" s="1006">
        <v>0</v>
      </c>
      <c r="U176" s="1010">
        <v>0</v>
      </c>
      <c r="V176" s="1003">
        <v>0</v>
      </c>
      <c r="W176" s="990" t="s">
        <v>784</v>
      </c>
      <c r="X176" s="646" t="s">
        <v>48</v>
      </c>
      <c r="Y176" s="1007" t="s">
        <v>571</v>
      </c>
      <c r="Z176" s="1304" t="s">
        <v>839</v>
      </c>
      <c r="AA176" s="1008" t="s">
        <v>839</v>
      </c>
    </row>
    <row r="177" spans="1:27" x14ac:dyDescent="0.25">
      <c r="A177" s="994" t="s">
        <v>1365</v>
      </c>
      <c r="B177" s="995" t="s">
        <v>802</v>
      </c>
      <c r="C177" s="990">
        <v>2019</v>
      </c>
      <c r="D177" s="646" t="s">
        <v>784</v>
      </c>
      <c r="E177" s="996" t="s">
        <v>78</v>
      </c>
      <c r="F177" s="997" t="s">
        <v>78</v>
      </c>
      <c r="G177" s="928" t="s">
        <v>1366</v>
      </c>
      <c r="H177" s="696">
        <v>2141.9618300000002</v>
      </c>
      <c r="I177" s="697">
        <v>0</v>
      </c>
      <c r="J177" s="696">
        <v>0</v>
      </c>
      <c r="K177" s="999">
        <v>2141.9618300000002</v>
      </c>
      <c r="L177" s="1000">
        <v>0</v>
      </c>
      <c r="M177" s="1001">
        <v>2141.9618300000002</v>
      </c>
      <c r="N177" s="1002">
        <f t="shared" si="10"/>
        <v>2141.9618300000002</v>
      </c>
      <c r="O177" s="1003">
        <v>0</v>
      </c>
      <c r="P177" s="1004">
        <v>0</v>
      </c>
      <c r="Q177" s="1003">
        <v>0</v>
      </c>
      <c r="R177" s="998">
        <v>0</v>
      </c>
      <c r="S177" s="1004">
        <v>0</v>
      </c>
      <c r="T177" s="1006">
        <v>0</v>
      </c>
      <c r="U177" s="1010">
        <v>0</v>
      </c>
      <c r="V177" s="1003">
        <v>0</v>
      </c>
      <c r="W177" s="990" t="s">
        <v>784</v>
      </c>
      <c r="X177" s="646" t="s">
        <v>48</v>
      </c>
      <c r="Y177" s="1007" t="s">
        <v>571</v>
      </c>
      <c r="Z177" s="1304" t="s">
        <v>839</v>
      </c>
      <c r="AA177" s="1008" t="s">
        <v>839</v>
      </c>
    </row>
    <row r="178" spans="1:27" x14ac:dyDescent="0.25">
      <c r="A178" s="994" t="s">
        <v>1367</v>
      </c>
      <c r="B178" s="995" t="s">
        <v>802</v>
      </c>
      <c r="C178" s="990">
        <v>2019</v>
      </c>
      <c r="D178" s="646" t="s">
        <v>784</v>
      </c>
      <c r="E178" s="996" t="s">
        <v>78</v>
      </c>
      <c r="F178" s="997" t="s">
        <v>78</v>
      </c>
      <c r="G178" s="928" t="s">
        <v>1368</v>
      </c>
      <c r="H178" s="696">
        <v>1565.29412</v>
      </c>
      <c r="I178" s="697">
        <v>0</v>
      </c>
      <c r="J178" s="696">
        <v>0</v>
      </c>
      <c r="K178" s="999">
        <v>1565.29412</v>
      </c>
      <c r="L178" s="1000">
        <v>0</v>
      </c>
      <c r="M178" s="1001">
        <v>1565.29412</v>
      </c>
      <c r="N178" s="1002">
        <f t="shared" si="10"/>
        <v>1565.29412</v>
      </c>
      <c r="O178" s="1003">
        <v>0</v>
      </c>
      <c r="P178" s="1004">
        <v>0</v>
      </c>
      <c r="Q178" s="1003">
        <v>0</v>
      </c>
      <c r="R178" s="998">
        <v>0</v>
      </c>
      <c r="S178" s="1004">
        <v>0</v>
      </c>
      <c r="T178" s="1006">
        <v>0</v>
      </c>
      <c r="U178" s="1010">
        <v>0</v>
      </c>
      <c r="V178" s="1003">
        <v>0</v>
      </c>
      <c r="W178" s="990" t="s">
        <v>784</v>
      </c>
      <c r="X178" s="646" t="s">
        <v>48</v>
      </c>
      <c r="Y178" s="1007" t="s">
        <v>571</v>
      </c>
      <c r="Z178" s="1304" t="s">
        <v>839</v>
      </c>
      <c r="AA178" s="1008" t="s">
        <v>839</v>
      </c>
    </row>
    <row r="179" spans="1:27" x14ac:dyDescent="0.25">
      <c r="A179" s="994" t="s">
        <v>1369</v>
      </c>
      <c r="B179" s="995" t="s">
        <v>802</v>
      </c>
      <c r="C179" s="990">
        <v>2019</v>
      </c>
      <c r="D179" s="646" t="s">
        <v>784</v>
      </c>
      <c r="E179" s="996" t="s">
        <v>78</v>
      </c>
      <c r="F179" s="997" t="s">
        <v>78</v>
      </c>
      <c r="G179" s="928" t="s">
        <v>1370</v>
      </c>
      <c r="H179" s="696">
        <v>4935.9898300000004</v>
      </c>
      <c r="I179" s="697">
        <v>0</v>
      </c>
      <c r="J179" s="696">
        <v>0</v>
      </c>
      <c r="K179" s="999">
        <v>4935.9898300000004</v>
      </c>
      <c r="L179" s="1000">
        <v>0</v>
      </c>
      <c r="M179" s="1001">
        <v>4935.9898300000004</v>
      </c>
      <c r="N179" s="1002">
        <f t="shared" si="10"/>
        <v>4935.9898300000004</v>
      </c>
      <c r="O179" s="1003">
        <v>0</v>
      </c>
      <c r="P179" s="1004">
        <v>0</v>
      </c>
      <c r="Q179" s="1003">
        <v>0</v>
      </c>
      <c r="R179" s="998">
        <v>0</v>
      </c>
      <c r="S179" s="1004">
        <v>0</v>
      </c>
      <c r="T179" s="1006">
        <v>0</v>
      </c>
      <c r="U179" s="1010">
        <v>0</v>
      </c>
      <c r="V179" s="1003">
        <v>0</v>
      </c>
      <c r="W179" s="990" t="s">
        <v>784</v>
      </c>
      <c r="X179" s="646" t="s">
        <v>48</v>
      </c>
      <c r="Y179" s="1007" t="s">
        <v>571</v>
      </c>
      <c r="Z179" s="1304" t="s">
        <v>839</v>
      </c>
      <c r="AA179" s="1008" t="s">
        <v>839</v>
      </c>
    </row>
    <row r="180" spans="1:27" x14ac:dyDescent="0.25">
      <c r="A180" s="994" t="s">
        <v>1371</v>
      </c>
      <c r="B180" s="995" t="s">
        <v>802</v>
      </c>
      <c r="C180" s="990">
        <v>2019</v>
      </c>
      <c r="D180" s="646" t="s">
        <v>784</v>
      </c>
      <c r="E180" s="996" t="s">
        <v>78</v>
      </c>
      <c r="F180" s="997" t="s">
        <v>78</v>
      </c>
      <c r="G180" s="928" t="s">
        <v>1372</v>
      </c>
      <c r="H180" s="696">
        <v>3581.4274500000001</v>
      </c>
      <c r="I180" s="697">
        <v>0</v>
      </c>
      <c r="J180" s="696">
        <v>0</v>
      </c>
      <c r="K180" s="999">
        <v>3581.4274500000001</v>
      </c>
      <c r="L180" s="1000">
        <v>0</v>
      </c>
      <c r="M180" s="1001">
        <v>3581.4274500000001</v>
      </c>
      <c r="N180" s="1002">
        <f t="shared" si="10"/>
        <v>3581.4274500000001</v>
      </c>
      <c r="O180" s="1003">
        <v>0</v>
      </c>
      <c r="P180" s="1004">
        <v>0</v>
      </c>
      <c r="Q180" s="1003">
        <v>0</v>
      </c>
      <c r="R180" s="998">
        <v>0</v>
      </c>
      <c r="S180" s="1004">
        <v>0</v>
      </c>
      <c r="T180" s="1006">
        <v>0</v>
      </c>
      <c r="U180" s="1010">
        <v>0</v>
      </c>
      <c r="V180" s="1003">
        <v>0</v>
      </c>
      <c r="W180" s="990" t="s">
        <v>784</v>
      </c>
      <c r="X180" s="646" t="s">
        <v>48</v>
      </c>
      <c r="Y180" s="1007" t="s">
        <v>571</v>
      </c>
      <c r="Z180" s="1304" t="s">
        <v>839</v>
      </c>
      <c r="AA180" s="1008" t="s">
        <v>839</v>
      </c>
    </row>
    <row r="181" spans="1:27" x14ac:dyDescent="0.25">
      <c r="A181" s="994" t="s">
        <v>1373</v>
      </c>
      <c r="B181" s="995" t="s">
        <v>802</v>
      </c>
      <c r="C181" s="990">
        <v>2019</v>
      </c>
      <c r="D181" s="646" t="s">
        <v>784</v>
      </c>
      <c r="E181" s="996" t="s">
        <v>78</v>
      </c>
      <c r="F181" s="997" t="s">
        <v>78</v>
      </c>
      <c r="G181" s="928" t="s">
        <v>1374</v>
      </c>
      <c r="H181" s="696">
        <v>2002.5818400000001</v>
      </c>
      <c r="I181" s="697">
        <v>0</v>
      </c>
      <c r="J181" s="696">
        <v>0</v>
      </c>
      <c r="K181" s="999">
        <v>2002.5818400000001</v>
      </c>
      <c r="L181" s="1000">
        <v>0</v>
      </c>
      <c r="M181" s="1001">
        <v>2002.5818400000001</v>
      </c>
      <c r="N181" s="1002">
        <f t="shared" si="10"/>
        <v>2002.5818400000001</v>
      </c>
      <c r="O181" s="1003">
        <v>0</v>
      </c>
      <c r="P181" s="1004">
        <v>0</v>
      </c>
      <c r="Q181" s="1003">
        <v>0</v>
      </c>
      <c r="R181" s="998">
        <v>0</v>
      </c>
      <c r="S181" s="1004">
        <v>0</v>
      </c>
      <c r="T181" s="1006">
        <v>0</v>
      </c>
      <c r="U181" s="1010">
        <v>0</v>
      </c>
      <c r="V181" s="1003">
        <v>0</v>
      </c>
      <c r="W181" s="990" t="s">
        <v>784</v>
      </c>
      <c r="X181" s="646" t="s">
        <v>48</v>
      </c>
      <c r="Y181" s="1007" t="s">
        <v>571</v>
      </c>
      <c r="Z181" s="1304" t="s">
        <v>839</v>
      </c>
      <c r="AA181" s="1008" t="s">
        <v>839</v>
      </c>
    </row>
    <row r="182" spans="1:27" ht="30" x14ac:dyDescent="0.25">
      <c r="A182" s="994" t="s">
        <v>1375</v>
      </c>
      <c r="B182" s="995" t="s">
        <v>802</v>
      </c>
      <c r="C182" s="990">
        <v>2019</v>
      </c>
      <c r="D182" s="646" t="s">
        <v>784</v>
      </c>
      <c r="E182" s="996" t="s">
        <v>78</v>
      </c>
      <c r="F182" s="997" t="s">
        <v>78</v>
      </c>
      <c r="G182" s="926" t="s">
        <v>1376</v>
      </c>
      <c r="H182" s="696">
        <v>6538.1955499999995</v>
      </c>
      <c r="I182" s="697">
        <v>0</v>
      </c>
      <c r="J182" s="696">
        <v>0</v>
      </c>
      <c r="K182" s="999">
        <v>6538.1955499999995</v>
      </c>
      <c r="L182" s="1000">
        <v>0</v>
      </c>
      <c r="M182" s="1001">
        <v>6538.1955499999995</v>
      </c>
      <c r="N182" s="1002">
        <f t="shared" si="10"/>
        <v>6538.1955499999995</v>
      </c>
      <c r="O182" s="1003">
        <v>0</v>
      </c>
      <c r="P182" s="1004">
        <v>0</v>
      </c>
      <c r="Q182" s="1003">
        <v>0</v>
      </c>
      <c r="R182" s="998">
        <v>0</v>
      </c>
      <c r="S182" s="1004">
        <v>0</v>
      </c>
      <c r="T182" s="1006">
        <v>0</v>
      </c>
      <c r="U182" s="1010">
        <v>0</v>
      </c>
      <c r="V182" s="1003">
        <v>0</v>
      </c>
      <c r="W182" s="990" t="s">
        <v>784</v>
      </c>
      <c r="X182" s="646" t="s">
        <v>48</v>
      </c>
      <c r="Y182" s="1007" t="s">
        <v>571</v>
      </c>
      <c r="Z182" s="1304" t="s">
        <v>839</v>
      </c>
      <c r="AA182" s="1008" t="s">
        <v>839</v>
      </c>
    </row>
    <row r="183" spans="1:27" x14ac:dyDescent="0.25">
      <c r="A183" s="994" t="s">
        <v>1377</v>
      </c>
      <c r="B183" s="995" t="s">
        <v>802</v>
      </c>
      <c r="C183" s="990">
        <v>2019</v>
      </c>
      <c r="D183" s="646" t="s">
        <v>784</v>
      </c>
      <c r="E183" s="996" t="s">
        <v>78</v>
      </c>
      <c r="F183" s="997" t="s">
        <v>78</v>
      </c>
      <c r="G183" s="929" t="s">
        <v>1378</v>
      </c>
      <c r="H183" s="696">
        <v>905.36434999999994</v>
      </c>
      <c r="I183" s="697">
        <v>0</v>
      </c>
      <c r="J183" s="696">
        <v>0</v>
      </c>
      <c r="K183" s="999">
        <v>905.36434999999994</v>
      </c>
      <c r="L183" s="1000">
        <v>0</v>
      </c>
      <c r="M183" s="1001">
        <v>905.36434999999994</v>
      </c>
      <c r="N183" s="1002">
        <f t="shared" si="10"/>
        <v>905.36434999999994</v>
      </c>
      <c r="O183" s="1003">
        <v>0</v>
      </c>
      <c r="P183" s="1004">
        <v>0</v>
      </c>
      <c r="Q183" s="1003">
        <v>0</v>
      </c>
      <c r="R183" s="998">
        <v>0</v>
      </c>
      <c r="S183" s="1004">
        <v>0</v>
      </c>
      <c r="T183" s="1006">
        <v>0</v>
      </c>
      <c r="U183" s="1010">
        <v>0</v>
      </c>
      <c r="V183" s="1003">
        <v>0</v>
      </c>
      <c r="W183" s="990" t="s">
        <v>784</v>
      </c>
      <c r="X183" s="646" t="s">
        <v>48</v>
      </c>
      <c r="Y183" s="1007" t="s">
        <v>571</v>
      </c>
      <c r="Z183" s="1304" t="s">
        <v>839</v>
      </c>
      <c r="AA183" s="1008" t="s">
        <v>839</v>
      </c>
    </row>
    <row r="184" spans="1:27" x14ac:dyDescent="0.25">
      <c r="A184" s="994" t="s">
        <v>1379</v>
      </c>
      <c r="B184" s="995" t="s">
        <v>802</v>
      </c>
      <c r="C184" s="990">
        <v>2019</v>
      </c>
      <c r="D184" s="646" t="s">
        <v>784</v>
      </c>
      <c r="E184" s="996" t="s">
        <v>78</v>
      </c>
      <c r="F184" s="997" t="s">
        <v>78</v>
      </c>
      <c r="G184" s="929" t="s">
        <v>1380</v>
      </c>
      <c r="H184" s="696">
        <v>1807.4541100000001</v>
      </c>
      <c r="I184" s="697">
        <v>0</v>
      </c>
      <c r="J184" s="696">
        <v>0</v>
      </c>
      <c r="K184" s="999">
        <v>1807.4541100000001</v>
      </c>
      <c r="L184" s="1000">
        <v>0</v>
      </c>
      <c r="M184" s="1001">
        <v>1807.4541100000001</v>
      </c>
      <c r="N184" s="1002">
        <f t="shared" si="10"/>
        <v>1807.4541100000001</v>
      </c>
      <c r="O184" s="1003">
        <v>0</v>
      </c>
      <c r="P184" s="1004">
        <v>0</v>
      </c>
      <c r="Q184" s="1003">
        <v>0</v>
      </c>
      <c r="R184" s="998">
        <v>0</v>
      </c>
      <c r="S184" s="1004">
        <v>0</v>
      </c>
      <c r="T184" s="1006">
        <v>0</v>
      </c>
      <c r="U184" s="1010">
        <v>0</v>
      </c>
      <c r="V184" s="1003">
        <v>0</v>
      </c>
      <c r="W184" s="990" t="s">
        <v>784</v>
      </c>
      <c r="X184" s="646" t="s">
        <v>48</v>
      </c>
      <c r="Y184" s="1007" t="s">
        <v>571</v>
      </c>
      <c r="Z184" s="1304" t="s">
        <v>839</v>
      </c>
      <c r="AA184" s="1008" t="s">
        <v>839</v>
      </c>
    </row>
    <row r="185" spans="1:27" x14ac:dyDescent="0.25">
      <c r="A185" s="994" t="s">
        <v>1381</v>
      </c>
      <c r="B185" s="995" t="s">
        <v>802</v>
      </c>
      <c r="C185" s="990">
        <v>2019</v>
      </c>
      <c r="D185" s="646" t="s">
        <v>784</v>
      </c>
      <c r="E185" s="996" t="s">
        <v>78</v>
      </c>
      <c r="F185" s="997" t="s">
        <v>78</v>
      </c>
      <c r="G185" s="929" t="s">
        <v>1382</v>
      </c>
      <c r="H185" s="696">
        <v>3681.58835</v>
      </c>
      <c r="I185" s="697">
        <v>0</v>
      </c>
      <c r="J185" s="696">
        <v>0</v>
      </c>
      <c r="K185" s="999">
        <v>3681.58835</v>
      </c>
      <c r="L185" s="1000">
        <v>0</v>
      </c>
      <c r="M185" s="1001">
        <v>3681.58835</v>
      </c>
      <c r="N185" s="1002">
        <f t="shared" si="10"/>
        <v>3681.58835</v>
      </c>
      <c r="O185" s="1003">
        <v>0</v>
      </c>
      <c r="P185" s="1004">
        <v>0</v>
      </c>
      <c r="Q185" s="1003">
        <v>0</v>
      </c>
      <c r="R185" s="998">
        <v>0</v>
      </c>
      <c r="S185" s="1004">
        <v>0</v>
      </c>
      <c r="T185" s="1006">
        <v>0</v>
      </c>
      <c r="U185" s="1010">
        <v>0</v>
      </c>
      <c r="V185" s="1003">
        <v>0</v>
      </c>
      <c r="W185" s="990" t="s">
        <v>784</v>
      </c>
      <c r="X185" s="646" t="s">
        <v>48</v>
      </c>
      <c r="Y185" s="1007" t="s">
        <v>571</v>
      </c>
      <c r="Z185" s="1304" t="s">
        <v>839</v>
      </c>
      <c r="AA185" s="1008" t="s">
        <v>839</v>
      </c>
    </row>
    <row r="186" spans="1:27" x14ac:dyDescent="0.25">
      <c r="A186" s="994" t="s">
        <v>1383</v>
      </c>
      <c r="B186" s="995" t="s">
        <v>802</v>
      </c>
      <c r="C186" s="990">
        <v>2019</v>
      </c>
      <c r="D186" s="646" t="s">
        <v>784</v>
      </c>
      <c r="E186" s="996" t="s">
        <v>78</v>
      </c>
      <c r="F186" s="997" t="s">
        <v>78</v>
      </c>
      <c r="G186" s="929" t="s">
        <v>1384</v>
      </c>
      <c r="H186" s="696">
        <v>3155.76712</v>
      </c>
      <c r="I186" s="697">
        <v>0</v>
      </c>
      <c r="J186" s="696">
        <v>0</v>
      </c>
      <c r="K186" s="999">
        <v>3155.76712</v>
      </c>
      <c r="L186" s="1000">
        <v>0</v>
      </c>
      <c r="M186" s="1001">
        <v>3155.76712</v>
      </c>
      <c r="N186" s="1002">
        <f t="shared" si="10"/>
        <v>3155.76712</v>
      </c>
      <c r="O186" s="1003">
        <v>0</v>
      </c>
      <c r="P186" s="1004">
        <v>0</v>
      </c>
      <c r="Q186" s="1003">
        <v>0</v>
      </c>
      <c r="R186" s="998">
        <v>0</v>
      </c>
      <c r="S186" s="1004">
        <v>0</v>
      </c>
      <c r="T186" s="1006">
        <v>0</v>
      </c>
      <c r="U186" s="1010">
        <v>0</v>
      </c>
      <c r="V186" s="1003">
        <v>0</v>
      </c>
      <c r="W186" s="990" t="s">
        <v>784</v>
      </c>
      <c r="X186" s="646" t="s">
        <v>48</v>
      </c>
      <c r="Y186" s="1007" t="s">
        <v>571</v>
      </c>
      <c r="Z186" s="1304" t="s">
        <v>839</v>
      </c>
      <c r="AA186" s="1008" t="s">
        <v>839</v>
      </c>
    </row>
    <row r="187" spans="1:27" x14ac:dyDescent="0.25">
      <c r="A187" s="994" t="s">
        <v>1385</v>
      </c>
      <c r="B187" s="995" t="s">
        <v>802</v>
      </c>
      <c r="C187" s="990">
        <v>2019</v>
      </c>
      <c r="D187" s="646" t="s">
        <v>784</v>
      </c>
      <c r="E187" s="996" t="s">
        <v>78</v>
      </c>
      <c r="F187" s="997" t="s">
        <v>78</v>
      </c>
      <c r="G187" s="929" t="s">
        <v>1386</v>
      </c>
      <c r="H187" s="696">
        <v>2301.4405699999998</v>
      </c>
      <c r="I187" s="697">
        <v>0</v>
      </c>
      <c r="J187" s="696">
        <v>0</v>
      </c>
      <c r="K187" s="999">
        <v>2301.4405699999998</v>
      </c>
      <c r="L187" s="1000">
        <v>0</v>
      </c>
      <c r="M187" s="1001">
        <v>2301.4405699999998</v>
      </c>
      <c r="N187" s="1002">
        <f t="shared" si="10"/>
        <v>2301.4405699999998</v>
      </c>
      <c r="O187" s="1003">
        <v>0</v>
      </c>
      <c r="P187" s="1004">
        <v>0</v>
      </c>
      <c r="Q187" s="1003">
        <v>0</v>
      </c>
      <c r="R187" s="998">
        <v>0</v>
      </c>
      <c r="S187" s="1004">
        <v>0</v>
      </c>
      <c r="T187" s="1006">
        <v>0</v>
      </c>
      <c r="U187" s="1010">
        <v>0</v>
      </c>
      <c r="V187" s="1003">
        <v>0</v>
      </c>
      <c r="W187" s="990" t="s">
        <v>784</v>
      </c>
      <c r="X187" s="646" t="s">
        <v>48</v>
      </c>
      <c r="Y187" s="1007" t="s">
        <v>571</v>
      </c>
      <c r="Z187" s="1304" t="s">
        <v>839</v>
      </c>
      <c r="AA187" s="1008" t="s">
        <v>839</v>
      </c>
    </row>
    <row r="188" spans="1:27" x14ac:dyDescent="0.25">
      <c r="A188" s="994" t="s">
        <v>1387</v>
      </c>
      <c r="B188" s="995" t="s">
        <v>802</v>
      </c>
      <c r="C188" s="990">
        <v>2019</v>
      </c>
      <c r="D188" s="646" t="s">
        <v>784</v>
      </c>
      <c r="E188" s="996" t="s">
        <v>78</v>
      </c>
      <c r="F188" s="997" t="s">
        <v>78</v>
      </c>
      <c r="G188" s="928" t="s">
        <v>1388</v>
      </c>
      <c r="H188" s="696">
        <v>848.11804000000006</v>
      </c>
      <c r="I188" s="697">
        <v>0</v>
      </c>
      <c r="J188" s="696">
        <v>0</v>
      </c>
      <c r="K188" s="999">
        <v>848.11804000000006</v>
      </c>
      <c r="L188" s="1000">
        <v>0</v>
      </c>
      <c r="M188" s="1001">
        <v>848.11804000000006</v>
      </c>
      <c r="N188" s="1002">
        <f t="shared" si="10"/>
        <v>848.11804000000006</v>
      </c>
      <c r="O188" s="1003">
        <v>0</v>
      </c>
      <c r="P188" s="1004">
        <v>0</v>
      </c>
      <c r="Q188" s="1003">
        <v>0</v>
      </c>
      <c r="R188" s="998">
        <v>0</v>
      </c>
      <c r="S188" s="1004">
        <v>0</v>
      </c>
      <c r="T188" s="1006">
        <v>0</v>
      </c>
      <c r="U188" s="1010">
        <v>0</v>
      </c>
      <c r="V188" s="1003">
        <v>0</v>
      </c>
      <c r="W188" s="990" t="s">
        <v>784</v>
      </c>
      <c r="X188" s="646" t="s">
        <v>48</v>
      </c>
      <c r="Y188" s="1007" t="s">
        <v>571</v>
      </c>
      <c r="Z188" s="1304" t="s">
        <v>839</v>
      </c>
      <c r="AA188" s="1008" t="s">
        <v>839</v>
      </c>
    </row>
    <row r="189" spans="1:27" x14ac:dyDescent="0.25">
      <c r="A189" s="994" t="s">
        <v>1389</v>
      </c>
      <c r="B189" s="995" t="s">
        <v>802</v>
      </c>
      <c r="C189" s="990">
        <v>2019</v>
      </c>
      <c r="D189" s="646" t="s">
        <v>784</v>
      </c>
      <c r="E189" s="996" t="s">
        <v>78</v>
      </c>
      <c r="F189" s="997" t="s">
        <v>78</v>
      </c>
      <c r="G189" s="928" t="s">
        <v>1390</v>
      </c>
      <c r="H189" s="696">
        <v>6871.5343400000002</v>
      </c>
      <c r="I189" s="697">
        <v>0</v>
      </c>
      <c r="J189" s="696">
        <v>0</v>
      </c>
      <c r="K189" s="999">
        <v>6871.5343400000002</v>
      </c>
      <c r="L189" s="1000">
        <v>0</v>
      </c>
      <c r="M189" s="1001">
        <v>6871.5343400000002</v>
      </c>
      <c r="N189" s="1002">
        <f t="shared" si="10"/>
        <v>6871.5343400000002</v>
      </c>
      <c r="O189" s="1003">
        <v>0</v>
      </c>
      <c r="P189" s="1004">
        <v>0</v>
      </c>
      <c r="Q189" s="1003">
        <v>0</v>
      </c>
      <c r="R189" s="998">
        <v>0</v>
      </c>
      <c r="S189" s="1004">
        <v>0</v>
      </c>
      <c r="T189" s="1006">
        <v>0</v>
      </c>
      <c r="U189" s="1010">
        <v>0</v>
      </c>
      <c r="V189" s="1003">
        <v>0</v>
      </c>
      <c r="W189" s="990" t="s">
        <v>784</v>
      </c>
      <c r="X189" s="646" t="s">
        <v>48</v>
      </c>
      <c r="Y189" s="1007" t="s">
        <v>571</v>
      </c>
      <c r="Z189" s="1304" t="s">
        <v>839</v>
      </c>
      <c r="AA189" s="1008" t="s">
        <v>839</v>
      </c>
    </row>
    <row r="190" spans="1:27" x14ac:dyDescent="0.25">
      <c r="A190" s="994" t="s">
        <v>1391</v>
      </c>
      <c r="B190" s="995" t="s">
        <v>802</v>
      </c>
      <c r="C190" s="990">
        <v>2019</v>
      </c>
      <c r="D190" s="646" t="s">
        <v>784</v>
      </c>
      <c r="E190" s="996" t="s">
        <v>78</v>
      </c>
      <c r="F190" s="997" t="s">
        <v>78</v>
      </c>
      <c r="G190" s="928" t="s">
        <v>1392</v>
      </c>
      <c r="H190" s="696">
        <v>2617.4199700000004</v>
      </c>
      <c r="I190" s="697">
        <v>0</v>
      </c>
      <c r="J190" s="696">
        <v>0</v>
      </c>
      <c r="K190" s="999">
        <v>2617.4199700000004</v>
      </c>
      <c r="L190" s="1000">
        <v>0</v>
      </c>
      <c r="M190" s="1001">
        <v>2617.4199700000004</v>
      </c>
      <c r="N190" s="1002">
        <f t="shared" si="10"/>
        <v>2617.4199700000004</v>
      </c>
      <c r="O190" s="1003">
        <v>0</v>
      </c>
      <c r="P190" s="1004">
        <v>0</v>
      </c>
      <c r="Q190" s="1003">
        <v>0</v>
      </c>
      <c r="R190" s="998">
        <v>0</v>
      </c>
      <c r="S190" s="1004">
        <v>0</v>
      </c>
      <c r="T190" s="1006">
        <v>0</v>
      </c>
      <c r="U190" s="1010">
        <v>0</v>
      </c>
      <c r="V190" s="1003">
        <v>0</v>
      </c>
      <c r="W190" s="990" t="s">
        <v>784</v>
      </c>
      <c r="X190" s="646" t="s">
        <v>48</v>
      </c>
      <c r="Y190" s="1007" t="s">
        <v>571</v>
      </c>
      <c r="Z190" s="1304" t="s">
        <v>839</v>
      </c>
      <c r="AA190" s="1008" t="s">
        <v>839</v>
      </c>
    </row>
    <row r="191" spans="1:27" x14ac:dyDescent="0.25">
      <c r="A191" s="994" t="s">
        <v>1393</v>
      </c>
      <c r="B191" s="995" t="s">
        <v>802</v>
      </c>
      <c r="C191" s="990">
        <v>2019</v>
      </c>
      <c r="D191" s="646" t="s">
        <v>784</v>
      </c>
      <c r="E191" s="996" t="s">
        <v>78</v>
      </c>
      <c r="F191" s="997" t="s">
        <v>78</v>
      </c>
      <c r="G191" s="928" t="s">
        <v>1394</v>
      </c>
      <c r="H191" s="696">
        <v>783.53549999999996</v>
      </c>
      <c r="I191" s="697">
        <v>0</v>
      </c>
      <c r="J191" s="696">
        <v>0</v>
      </c>
      <c r="K191" s="999">
        <v>783.53549999999996</v>
      </c>
      <c r="L191" s="1000">
        <v>0</v>
      </c>
      <c r="M191" s="1166">
        <v>783.53549999999996</v>
      </c>
      <c r="N191" s="1002">
        <f t="shared" si="10"/>
        <v>783.53549999999996</v>
      </c>
      <c r="O191" s="1003">
        <v>0</v>
      </c>
      <c r="P191" s="1004">
        <v>0</v>
      </c>
      <c r="Q191" s="1003">
        <v>0</v>
      </c>
      <c r="R191" s="998">
        <v>0</v>
      </c>
      <c r="S191" s="1004">
        <v>0</v>
      </c>
      <c r="T191" s="1006">
        <v>0</v>
      </c>
      <c r="U191" s="1010">
        <v>0</v>
      </c>
      <c r="V191" s="1003">
        <v>0</v>
      </c>
      <c r="W191" s="990" t="s">
        <v>784</v>
      </c>
      <c r="X191" s="646" t="s">
        <v>48</v>
      </c>
      <c r="Y191" s="1007" t="s">
        <v>571</v>
      </c>
      <c r="Z191" s="1304" t="s">
        <v>839</v>
      </c>
      <c r="AA191" s="1008" t="s">
        <v>839</v>
      </c>
    </row>
    <row r="192" spans="1:27" x14ac:dyDescent="0.25">
      <c r="A192" s="994" t="s">
        <v>1395</v>
      </c>
      <c r="B192" s="995" t="s">
        <v>802</v>
      </c>
      <c r="C192" s="990">
        <v>2019</v>
      </c>
      <c r="D192" s="646" t="s">
        <v>784</v>
      </c>
      <c r="E192" s="996" t="s">
        <v>78</v>
      </c>
      <c r="F192" s="997" t="s">
        <v>78</v>
      </c>
      <c r="G192" s="928" t="s">
        <v>1396</v>
      </c>
      <c r="H192" s="696">
        <v>3839.72325</v>
      </c>
      <c r="I192" s="697">
        <v>0</v>
      </c>
      <c r="J192" s="696">
        <v>0</v>
      </c>
      <c r="K192" s="999">
        <v>3839.72325</v>
      </c>
      <c r="L192" s="1000">
        <v>0</v>
      </c>
      <c r="M192" s="1166">
        <v>3839.72325</v>
      </c>
      <c r="N192" s="1002">
        <f t="shared" si="10"/>
        <v>3839.72325</v>
      </c>
      <c r="O192" s="1003">
        <v>0</v>
      </c>
      <c r="P192" s="1004">
        <v>0</v>
      </c>
      <c r="Q192" s="1003">
        <v>0</v>
      </c>
      <c r="R192" s="998">
        <v>0</v>
      </c>
      <c r="S192" s="1004">
        <v>0</v>
      </c>
      <c r="T192" s="1006">
        <v>0</v>
      </c>
      <c r="U192" s="1010">
        <v>0</v>
      </c>
      <c r="V192" s="1003">
        <v>0</v>
      </c>
      <c r="W192" s="990" t="s">
        <v>784</v>
      </c>
      <c r="X192" s="646" t="s">
        <v>48</v>
      </c>
      <c r="Y192" s="1007" t="s">
        <v>571</v>
      </c>
      <c r="Z192" s="1304" t="s">
        <v>839</v>
      </c>
      <c r="AA192" s="1008" t="s">
        <v>839</v>
      </c>
    </row>
    <row r="193" spans="1:27" x14ac:dyDescent="0.25">
      <c r="A193" s="994" t="s">
        <v>1397</v>
      </c>
      <c r="B193" s="995" t="s">
        <v>802</v>
      </c>
      <c r="C193" s="990">
        <v>2019</v>
      </c>
      <c r="D193" s="646" t="s">
        <v>784</v>
      </c>
      <c r="E193" s="996" t="s">
        <v>78</v>
      </c>
      <c r="F193" s="997" t="s">
        <v>78</v>
      </c>
      <c r="G193" s="928" t="s">
        <v>1398</v>
      </c>
      <c r="H193" s="696">
        <v>1888.4833000000001</v>
      </c>
      <c r="I193" s="697">
        <v>0</v>
      </c>
      <c r="J193" s="696">
        <v>0</v>
      </c>
      <c r="K193" s="999">
        <v>1888.4833000000001</v>
      </c>
      <c r="L193" s="1000">
        <v>0</v>
      </c>
      <c r="M193" s="1166">
        <v>1888.4833000000001</v>
      </c>
      <c r="N193" s="1002">
        <f t="shared" si="10"/>
        <v>1888.4833000000001</v>
      </c>
      <c r="O193" s="1003">
        <v>0</v>
      </c>
      <c r="P193" s="1004">
        <v>0</v>
      </c>
      <c r="Q193" s="1003">
        <v>0</v>
      </c>
      <c r="R193" s="998">
        <v>0</v>
      </c>
      <c r="S193" s="1004">
        <v>0</v>
      </c>
      <c r="T193" s="1006">
        <v>0</v>
      </c>
      <c r="U193" s="1010">
        <v>0</v>
      </c>
      <c r="V193" s="1003">
        <v>0</v>
      </c>
      <c r="W193" s="990" t="s">
        <v>784</v>
      </c>
      <c r="X193" s="646" t="s">
        <v>48</v>
      </c>
      <c r="Y193" s="1007" t="s">
        <v>571</v>
      </c>
      <c r="Z193" s="1304" t="s">
        <v>839</v>
      </c>
      <c r="AA193" s="1008" t="s">
        <v>839</v>
      </c>
    </row>
    <row r="194" spans="1:27" x14ac:dyDescent="0.25">
      <c r="A194" s="994" t="s">
        <v>1399</v>
      </c>
      <c r="B194" s="995" t="s">
        <v>802</v>
      </c>
      <c r="C194" s="990">
        <v>2019</v>
      </c>
      <c r="D194" s="646" t="s">
        <v>784</v>
      </c>
      <c r="E194" s="996" t="s">
        <v>78</v>
      </c>
      <c r="F194" s="997" t="s">
        <v>78</v>
      </c>
      <c r="G194" s="928" t="s">
        <v>1400</v>
      </c>
      <c r="H194" s="696">
        <v>7712.6319599999997</v>
      </c>
      <c r="I194" s="697">
        <v>0</v>
      </c>
      <c r="J194" s="696">
        <v>0</v>
      </c>
      <c r="K194" s="999">
        <v>7712.6319599999997</v>
      </c>
      <c r="L194" s="1000">
        <v>0</v>
      </c>
      <c r="M194" s="1166">
        <v>7712.6319599999997</v>
      </c>
      <c r="N194" s="1002">
        <f t="shared" si="10"/>
        <v>7712.6319599999997</v>
      </c>
      <c r="O194" s="1003">
        <v>0</v>
      </c>
      <c r="P194" s="1004">
        <v>0</v>
      </c>
      <c r="Q194" s="1003">
        <v>0</v>
      </c>
      <c r="R194" s="998">
        <v>0</v>
      </c>
      <c r="S194" s="1004">
        <v>0</v>
      </c>
      <c r="T194" s="1006">
        <v>0</v>
      </c>
      <c r="U194" s="1010">
        <v>0</v>
      </c>
      <c r="V194" s="1003">
        <v>0</v>
      </c>
      <c r="W194" s="990" t="s">
        <v>784</v>
      </c>
      <c r="X194" s="646" t="s">
        <v>48</v>
      </c>
      <c r="Y194" s="1007" t="s">
        <v>571</v>
      </c>
      <c r="Z194" s="1304" t="s">
        <v>839</v>
      </c>
      <c r="AA194" s="1008" t="s">
        <v>839</v>
      </c>
    </row>
    <row r="195" spans="1:27" x14ac:dyDescent="0.25">
      <c r="A195" s="994" t="s">
        <v>1401</v>
      </c>
      <c r="B195" s="995" t="s">
        <v>802</v>
      </c>
      <c r="C195" s="990">
        <v>2019</v>
      </c>
      <c r="D195" s="646" t="s">
        <v>784</v>
      </c>
      <c r="E195" s="996" t="s">
        <v>78</v>
      </c>
      <c r="F195" s="997" t="s">
        <v>78</v>
      </c>
      <c r="G195" s="928" t="s">
        <v>1402</v>
      </c>
      <c r="H195" s="696">
        <v>2672.9033100000001</v>
      </c>
      <c r="I195" s="697">
        <v>0</v>
      </c>
      <c r="J195" s="696">
        <v>0</v>
      </c>
      <c r="K195" s="999">
        <v>2672.9033100000001</v>
      </c>
      <c r="L195" s="1000">
        <v>0</v>
      </c>
      <c r="M195" s="1166">
        <v>2672.9033100000001</v>
      </c>
      <c r="N195" s="1002">
        <f t="shared" si="10"/>
        <v>2672.9033100000001</v>
      </c>
      <c r="O195" s="1003">
        <v>0</v>
      </c>
      <c r="P195" s="1004">
        <v>0</v>
      </c>
      <c r="Q195" s="1003">
        <v>0</v>
      </c>
      <c r="R195" s="998">
        <v>0</v>
      </c>
      <c r="S195" s="1004">
        <v>0</v>
      </c>
      <c r="T195" s="1006">
        <v>0</v>
      </c>
      <c r="U195" s="1010">
        <v>0</v>
      </c>
      <c r="V195" s="1003">
        <v>0</v>
      </c>
      <c r="W195" s="990" t="s">
        <v>784</v>
      </c>
      <c r="X195" s="646" t="s">
        <v>48</v>
      </c>
      <c r="Y195" s="1007" t="s">
        <v>571</v>
      </c>
      <c r="Z195" s="1304" t="s">
        <v>839</v>
      </c>
      <c r="AA195" s="1008" t="s">
        <v>839</v>
      </c>
    </row>
    <row r="196" spans="1:27" ht="30" x14ac:dyDescent="0.25">
      <c r="A196" s="994" t="s">
        <v>1403</v>
      </c>
      <c r="B196" s="995" t="s">
        <v>802</v>
      </c>
      <c r="C196" s="990">
        <v>2019</v>
      </c>
      <c r="D196" s="646" t="s">
        <v>784</v>
      </c>
      <c r="E196" s="996" t="s">
        <v>78</v>
      </c>
      <c r="F196" s="997" t="s">
        <v>78</v>
      </c>
      <c r="G196" s="926" t="s">
        <v>1404</v>
      </c>
      <c r="H196" s="696">
        <v>3300</v>
      </c>
      <c r="I196" s="697">
        <v>0</v>
      </c>
      <c r="J196" s="696">
        <v>0</v>
      </c>
      <c r="K196" s="999">
        <v>3300</v>
      </c>
      <c r="L196" s="1000">
        <v>0</v>
      </c>
      <c r="M196" s="1166">
        <v>3300</v>
      </c>
      <c r="N196" s="1002">
        <f t="shared" si="10"/>
        <v>3300</v>
      </c>
      <c r="O196" s="1003">
        <v>0</v>
      </c>
      <c r="P196" s="1004">
        <v>0</v>
      </c>
      <c r="Q196" s="1003">
        <v>0</v>
      </c>
      <c r="R196" s="998">
        <v>0</v>
      </c>
      <c r="S196" s="1004">
        <v>0</v>
      </c>
      <c r="T196" s="1006">
        <v>0</v>
      </c>
      <c r="U196" s="1010">
        <v>0</v>
      </c>
      <c r="V196" s="1003">
        <v>0</v>
      </c>
      <c r="W196" s="990" t="s">
        <v>784</v>
      </c>
      <c r="X196" s="646" t="s">
        <v>48</v>
      </c>
      <c r="Y196" s="1007" t="s">
        <v>571</v>
      </c>
      <c r="Z196" s="1304" t="s">
        <v>839</v>
      </c>
      <c r="AA196" s="1008" t="s">
        <v>839</v>
      </c>
    </row>
    <row r="197" spans="1:27" x14ac:dyDescent="0.25">
      <c r="A197" s="994" t="s">
        <v>1405</v>
      </c>
      <c r="B197" s="995" t="s">
        <v>802</v>
      </c>
      <c r="C197" s="990">
        <v>2019</v>
      </c>
      <c r="D197" s="646" t="s">
        <v>784</v>
      </c>
      <c r="E197" s="996" t="s">
        <v>78</v>
      </c>
      <c r="F197" s="997" t="s">
        <v>78</v>
      </c>
      <c r="G197" s="928" t="s">
        <v>1406</v>
      </c>
      <c r="H197" s="696">
        <v>785.73800000000006</v>
      </c>
      <c r="I197" s="697">
        <v>0</v>
      </c>
      <c r="J197" s="696">
        <v>0</v>
      </c>
      <c r="K197" s="999">
        <v>785.73800000000006</v>
      </c>
      <c r="L197" s="1000">
        <v>0</v>
      </c>
      <c r="M197" s="1166">
        <v>785.73800000000006</v>
      </c>
      <c r="N197" s="1002">
        <f t="shared" si="10"/>
        <v>785.73800000000006</v>
      </c>
      <c r="O197" s="1003">
        <v>0</v>
      </c>
      <c r="P197" s="1004">
        <v>0</v>
      </c>
      <c r="Q197" s="1003">
        <v>0</v>
      </c>
      <c r="R197" s="998">
        <v>0</v>
      </c>
      <c r="S197" s="1004">
        <v>0</v>
      </c>
      <c r="T197" s="1006">
        <v>0</v>
      </c>
      <c r="U197" s="1010">
        <v>0</v>
      </c>
      <c r="V197" s="1003">
        <v>0</v>
      </c>
      <c r="W197" s="990" t="s">
        <v>784</v>
      </c>
      <c r="X197" s="646" t="s">
        <v>48</v>
      </c>
      <c r="Y197" s="1007" t="s">
        <v>571</v>
      </c>
      <c r="Z197" s="1304" t="s">
        <v>839</v>
      </c>
      <c r="AA197" s="1008" t="s">
        <v>839</v>
      </c>
    </row>
    <row r="198" spans="1:27" x14ac:dyDescent="0.25">
      <c r="A198" s="994" t="s">
        <v>1407</v>
      </c>
      <c r="B198" s="995" t="s">
        <v>802</v>
      </c>
      <c r="C198" s="990">
        <v>2019</v>
      </c>
      <c r="D198" s="646" t="s">
        <v>784</v>
      </c>
      <c r="E198" s="996" t="s">
        <v>78</v>
      </c>
      <c r="F198" s="997" t="s">
        <v>78</v>
      </c>
      <c r="G198" s="928" t="s">
        <v>1408</v>
      </c>
      <c r="H198" s="696">
        <v>7200</v>
      </c>
      <c r="I198" s="697">
        <v>0</v>
      </c>
      <c r="J198" s="696">
        <v>0</v>
      </c>
      <c r="K198" s="999">
        <v>7200</v>
      </c>
      <c r="L198" s="1000">
        <v>0</v>
      </c>
      <c r="M198" s="1166">
        <v>7200</v>
      </c>
      <c r="N198" s="1002">
        <f t="shared" si="10"/>
        <v>7200</v>
      </c>
      <c r="O198" s="1003">
        <v>0</v>
      </c>
      <c r="P198" s="1004">
        <v>0</v>
      </c>
      <c r="Q198" s="1003">
        <v>0</v>
      </c>
      <c r="R198" s="998">
        <v>0</v>
      </c>
      <c r="S198" s="1010">
        <v>0</v>
      </c>
      <c r="T198" s="1006">
        <v>0</v>
      </c>
      <c r="U198" s="1010">
        <v>0</v>
      </c>
      <c r="V198" s="1003">
        <v>0</v>
      </c>
      <c r="W198" s="990" t="s">
        <v>784</v>
      </c>
      <c r="X198" s="646" t="s">
        <v>48</v>
      </c>
      <c r="Y198" s="1007" t="s">
        <v>571</v>
      </c>
      <c r="Z198" s="1304" t="s">
        <v>839</v>
      </c>
      <c r="AA198" s="1008" t="s">
        <v>839</v>
      </c>
    </row>
    <row r="199" spans="1:27" x14ac:dyDescent="0.25">
      <c r="A199" s="994" t="s">
        <v>1409</v>
      </c>
      <c r="B199" s="995" t="s">
        <v>802</v>
      </c>
      <c r="C199" s="990">
        <v>2019</v>
      </c>
      <c r="D199" s="646" t="s">
        <v>784</v>
      </c>
      <c r="E199" s="996" t="s">
        <v>78</v>
      </c>
      <c r="F199" s="997" t="s">
        <v>78</v>
      </c>
      <c r="G199" s="928" t="s">
        <v>1410</v>
      </c>
      <c r="H199" s="696">
        <v>6054.4479600000004</v>
      </c>
      <c r="I199" s="697">
        <v>0</v>
      </c>
      <c r="J199" s="696">
        <v>0</v>
      </c>
      <c r="K199" s="999">
        <v>0</v>
      </c>
      <c r="L199" s="1000">
        <v>0</v>
      </c>
      <c r="M199" s="1166">
        <v>0</v>
      </c>
      <c r="N199" s="1002">
        <f t="shared" si="10"/>
        <v>0</v>
      </c>
      <c r="O199" s="1003">
        <v>0</v>
      </c>
      <c r="P199" s="1004">
        <v>0</v>
      </c>
      <c r="Q199" s="1003">
        <v>0</v>
      </c>
      <c r="R199" s="998">
        <v>0</v>
      </c>
      <c r="S199" s="1010">
        <v>6054.4479600000004</v>
      </c>
      <c r="T199" s="1006">
        <v>6054.4479600000004</v>
      </c>
      <c r="U199" s="1010">
        <v>0</v>
      </c>
      <c r="V199" s="1003">
        <v>0</v>
      </c>
      <c r="W199" s="990" t="s">
        <v>784</v>
      </c>
      <c r="X199" s="646" t="s">
        <v>48</v>
      </c>
      <c r="Y199" s="1007" t="s">
        <v>731</v>
      </c>
      <c r="Z199" s="1304" t="s">
        <v>839</v>
      </c>
      <c r="AA199" s="1008" t="s">
        <v>838</v>
      </c>
    </row>
    <row r="200" spans="1:27" x14ac:dyDescent="0.25">
      <c r="A200" s="994" t="s">
        <v>1411</v>
      </c>
      <c r="B200" s="995" t="s">
        <v>802</v>
      </c>
      <c r="C200" s="990">
        <v>2019</v>
      </c>
      <c r="D200" s="646" t="s">
        <v>784</v>
      </c>
      <c r="E200" s="996" t="s">
        <v>78</v>
      </c>
      <c r="F200" s="997" t="s">
        <v>78</v>
      </c>
      <c r="G200" s="928" t="s">
        <v>1412</v>
      </c>
      <c r="H200" s="696">
        <v>3541.7646199999999</v>
      </c>
      <c r="I200" s="697">
        <v>0</v>
      </c>
      <c r="J200" s="696">
        <v>0</v>
      </c>
      <c r="K200" s="999">
        <v>0</v>
      </c>
      <c r="L200" s="1000">
        <v>0</v>
      </c>
      <c r="M200" s="1166">
        <v>0</v>
      </c>
      <c r="N200" s="1002">
        <f t="shared" si="10"/>
        <v>0</v>
      </c>
      <c r="O200" s="1003">
        <v>0</v>
      </c>
      <c r="P200" s="1004">
        <v>0</v>
      </c>
      <c r="Q200" s="1003">
        <v>0</v>
      </c>
      <c r="R200" s="998">
        <v>0</v>
      </c>
      <c r="S200" s="1010">
        <v>3541.7646199999999</v>
      </c>
      <c r="T200" s="1006">
        <v>3541.7646199999999</v>
      </c>
      <c r="U200" s="1010">
        <v>0</v>
      </c>
      <c r="V200" s="1003">
        <v>0</v>
      </c>
      <c r="W200" s="990" t="s">
        <v>784</v>
      </c>
      <c r="X200" s="646" t="s">
        <v>48</v>
      </c>
      <c r="Y200" s="1007" t="s">
        <v>731</v>
      </c>
      <c r="Z200" s="1304" t="s">
        <v>839</v>
      </c>
      <c r="AA200" s="1008" t="s">
        <v>838</v>
      </c>
    </row>
    <row r="201" spans="1:27" x14ac:dyDescent="0.25">
      <c r="A201" s="994" t="s">
        <v>1413</v>
      </c>
      <c r="B201" s="995" t="s">
        <v>802</v>
      </c>
      <c r="C201" s="990">
        <v>2019</v>
      </c>
      <c r="D201" s="646" t="s">
        <v>784</v>
      </c>
      <c r="E201" s="996" t="s">
        <v>78</v>
      </c>
      <c r="F201" s="997" t="s">
        <v>78</v>
      </c>
      <c r="G201" s="928" t="s">
        <v>1414</v>
      </c>
      <c r="H201" s="696">
        <v>2033.80612</v>
      </c>
      <c r="I201" s="697">
        <v>0</v>
      </c>
      <c r="J201" s="696">
        <v>0</v>
      </c>
      <c r="K201" s="999">
        <v>0</v>
      </c>
      <c r="L201" s="1000">
        <v>0</v>
      </c>
      <c r="M201" s="1166">
        <v>0</v>
      </c>
      <c r="N201" s="1002">
        <f t="shared" si="10"/>
        <v>0</v>
      </c>
      <c r="O201" s="1003">
        <v>0</v>
      </c>
      <c r="P201" s="1004">
        <v>0</v>
      </c>
      <c r="Q201" s="1003">
        <v>0</v>
      </c>
      <c r="R201" s="998">
        <v>0</v>
      </c>
      <c r="S201" s="1004">
        <v>2033.80612</v>
      </c>
      <c r="T201" s="1003">
        <v>2033.80612</v>
      </c>
      <c r="U201" s="1010">
        <v>0</v>
      </c>
      <c r="V201" s="1003">
        <v>0</v>
      </c>
      <c r="W201" s="990" t="s">
        <v>784</v>
      </c>
      <c r="X201" s="646" t="s">
        <v>48</v>
      </c>
      <c r="Y201" s="1007" t="s">
        <v>731</v>
      </c>
      <c r="Z201" s="1304" t="s">
        <v>839</v>
      </c>
      <c r="AA201" s="1008" t="s">
        <v>838</v>
      </c>
    </row>
    <row r="202" spans="1:27" ht="15.75" thickBot="1" x14ac:dyDescent="0.3">
      <c r="A202" s="180"/>
      <c r="B202" s="713"/>
      <c r="C202" s="58"/>
      <c r="D202" s="58"/>
      <c r="E202" s="798"/>
      <c r="F202" s="92"/>
      <c r="G202" s="804"/>
      <c r="H202" s="182"/>
      <c r="I202" s="1382"/>
      <c r="J202" s="48"/>
      <c r="K202" s="715"/>
      <c r="L202" s="774"/>
      <c r="M202" s="770"/>
      <c r="N202" s="774"/>
      <c r="O202" s="9"/>
      <c r="P202" s="9"/>
      <c r="Q202" s="9"/>
      <c r="R202" s="565"/>
      <c r="S202" s="10"/>
      <c r="T202" s="9"/>
      <c r="U202" s="9"/>
      <c r="V202" s="9"/>
      <c r="W202" s="1012"/>
      <c r="X202" s="58"/>
      <c r="Y202" s="225"/>
      <c r="Z202" s="269"/>
      <c r="AA202" s="225"/>
    </row>
    <row r="203" spans="1:27" ht="33.75" customHeight="1" thickBot="1" x14ac:dyDescent="0.3">
      <c r="A203" s="378" t="s">
        <v>784</v>
      </c>
      <c r="B203" s="630" t="s">
        <v>784</v>
      </c>
      <c r="C203" s="210" t="s">
        <v>784</v>
      </c>
      <c r="D203" s="116" t="s">
        <v>784</v>
      </c>
      <c r="E203" s="800" t="s">
        <v>784</v>
      </c>
      <c r="F203" s="160" t="s">
        <v>784</v>
      </c>
      <c r="G203" s="803" t="s">
        <v>919</v>
      </c>
      <c r="H203" s="99">
        <f t="shared" ref="H203:K203" si="11">SUM(H45:H202)</f>
        <v>2483664.5150799984</v>
      </c>
      <c r="I203" s="504">
        <f t="shared" si="11"/>
        <v>527079.36118000001</v>
      </c>
      <c r="J203" s="99">
        <v>203054.86046999993</v>
      </c>
      <c r="K203" s="413">
        <f t="shared" si="11"/>
        <v>668133.6445599997</v>
      </c>
      <c r="L203" s="442">
        <v>525905.41856000002</v>
      </c>
      <c r="M203" s="99">
        <f t="shared" ref="M203:V203" si="12">SUM(M45:M202)</f>
        <v>345283.08578999987</v>
      </c>
      <c r="N203" s="99">
        <f t="shared" si="12"/>
        <v>871188.50435000018</v>
      </c>
      <c r="O203" s="438">
        <f t="shared" si="12"/>
        <v>0</v>
      </c>
      <c r="P203" s="413">
        <f t="shared" si="12"/>
        <v>0</v>
      </c>
      <c r="Q203" s="615">
        <f t="shared" si="12"/>
        <v>0</v>
      </c>
      <c r="R203" s="441">
        <f t="shared" si="12"/>
        <v>50</v>
      </c>
      <c r="S203" s="615">
        <f t="shared" si="12"/>
        <v>39406.818700000003</v>
      </c>
      <c r="T203" s="413">
        <f t="shared" si="12"/>
        <v>512187.55621999991</v>
      </c>
      <c r="U203" s="413">
        <f t="shared" si="12"/>
        <v>539209.09333000006</v>
      </c>
      <c r="V203" s="413">
        <f t="shared" si="12"/>
        <v>34000</v>
      </c>
      <c r="W203" s="134" t="s">
        <v>1656</v>
      </c>
      <c r="X203" s="100" t="s">
        <v>784</v>
      </c>
      <c r="Y203" s="105" t="s">
        <v>784</v>
      </c>
      <c r="Z203" s="407" t="s">
        <v>784</v>
      </c>
      <c r="AA203" s="105" t="s">
        <v>784</v>
      </c>
    </row>
    <row r="204" spans="1:27" s="686" customFormat="1" ht="39.75" customHeight="1" x14ac:dyDescent="0.25">
      <c r="A204" s="1997" t="s">
        <v>1050</v>
      </c>
      <c r="B204" s="1998" t="s">
        <v>171</v>
      </c>
      <c r="C204" s="1999">
        <v>2016</v>
      </c>
      <c r="D204" s="654" t="s">
        <v>1032</v>
      </c>
      <c r="E204" s="2000" t="s">
        <v>14</v>
      </c>
      <c r="F204" s="1200" t="s">
        <v>172</v>
      </c>
      <c r="G204" s="1201" t="s">
        <v>173</v>
      </c>
      <c r="H204" s="1202">
        <f>17736.1576-720.78217</f>
        <v>17015.37543</v>
      </c>
      <c r="I204" s="1614">
        <v>16990.507849999998</v>
      </c>
      <c r="J204" s="839">
        <v>14.52</v>
      </c>
      <c r="K204" s="1203">
        <v>10.347580000000001</v>
      </c>
      <c r="L204" s="1204">
        <v>1374.3386799999998</v>
      </c>
      <c r="M204" s="1370">
        <v>-1349.4711</v>
      </c>
      <c r="N204" s="1205">
        <f t="shared" ref="N204:N239" si="13">L204+M204</f>
        <v>24.867579999999862</v>
      </c>
      <c r="O204" s="1206">
        <v>0</v>
      </c>
      <c r="P204" s="1207">
        <v>0</v>
      </c>
      <c r="Q204" s="1207">
        <v>0</v>
      </c>
      <c r="R204" s="1361">
        <v>0</v>
      </c>
      <c r="S204" s="1369">
        <v>0</v>
      </c>
      <c r="T204" s="1208">
        <v>0</v>
      </c>
      <c r="U204" s="1208">
        <v>0</v>
      </c>
      <c r="V204" s="1207">
        <v>0</v>
      </c>
      <c r="W204" s="1209" t="s">
        <v>1619</v>
      </c>
      <c r="X204" s="1485" t="s">
        <v>48</v>
      </c>
      <c r="Y204" s="1812" t="s">
        <v>571</v>
      </c>
      <c r="Z204" s="1210" t="s">
        <v>839</v>
      </c>
      <c r="AA204" s="1211" t="s">
        <v>839</v>
      </c>
    </row>
    <row r="205" spans="1:27" s="703" customFormat="1" ht="30" x14ac:dyDescent="0.25">
      <c r="A205" s="1212" t="s">
        <v>1051</v>
      </c>
      <c r="B205" s="1213" t="s">
        <v>174</v>
      </c>
      <c r="C205" s="1214">
        <v>2016</v>
      </c>
      <c r="D205" s="1214" t="s">
        <v>1032</v>
      </c>
      <c r="E205" s="1215" t="s">
        <v>14</v>
      </c>
      <c r="F205" s="1079" t="s">
        <v>175</v>
      </c>
      <c r="G205" s="1936" t="s">
        <v>176</v>
      </c>
      <c r="H205" s="1020">
        <v>10769.87269</v>
      </c>
      <c r="I205" s="702">
        <v>83.66</v>
      </c>
      <c r="J205" s="700">
        <v>10686.21269</v>
      </c>
      <c r="K205" s="1071">
        <v>0</v>
      </c>
      <c r="L205" s="1220">
        <v>11103.64</v>
      </c>
      <c r="M205" s="1021">
        <f>-333.76731-83.66</f>
        <v>-417.42731000000003</v>
      </c>
      <c r="N205" s="1221">
        <f t="shared" si="13"/>
        <v>10686.21269</v>
      </c>
      <c r="O205" s="1222">
        <v>0</v>
      </c>
      <c r="P205" s="1223">
        <v>0</v>
      </c>
      <c r="Q205" s="1223">
        <v>0</v>
      </c>
      <c r="R205" s="1218">
        <v>0</v>
      </c>
      <c r="S205" s="1358">
        <v>0</v>
      </c>
      <c r="T205" s="1222">
        <v>0</v>
      </c>
      <c r="U205" s="1222">
        <v>0</v>
      </c>
      <c r="V205" s="1222">
        <v>0</v>
      </c>
      <c r="W205" s="1224" t="s">
        <v>1606</v>
      </c>
      <c r="X205" s="1214" t="s">
        <v>877</v>
      </c>
      <c r="Y205" s="1225" t="s">
        <v>27</v>
      </c>
      <c r="Z205" s="1226" t="s">
        <v>839</v>
      </c>
      <c r="AA205" s="1225" t="s">
        <v>839</v>
      </c>
    </row>
    <row r="206" spans="1:27" ht="42.75" customHeight="1" thickBot="1" x14ac:dyDescent="0.3">
      <c r="A206" s="1241" t="s">
        <v>1052</v>
      </c>
      <c r="B206" s="1043" t="s">
        <v>177</v>
      </c>
      <c r="C206" s="657">
        <v>2016</v>
      </c>
      <c r="D206" s="657" t="s">
        <v>1031</v>
      </c>
      <c r="E206" s="1045" t="s">
        <v>14</v>
      </c>
      <c r="F206" s="1046" t="s">
        <v>178</v>
      </c>
      <c r="G206" s="1242" t="s">
        <v>179</v>
      </c>
      <c r="H206" s="813">
        <v>59000</v>
      </c>
      <c r="I206" s="721">
        <v>1989.8019999999999</v>
      </c>
      <c r="J206" s="1810">
        <v>0</v>
      </c>
      <c r="K206" s="1050">
        <v>268.37799999999999</v>
      </c>
      <c r="L206" s="1827">
        <v>343.07799999999997</v>
      </c>
      <c r="M206" s="1052">
        <v>-74.7</v>
      </c>
      <c r="N206" s="1052">
        <f t="shared" si="13"/>
        <v>268.37799999999999</v>
      </c>
      <c r="O206" s="1310">
        <v>0</v>
      </c>
      <c r="P206" s="1244">
        <v>0</v>
      </c>
      <c r="Q206" s="1244">
        <v>0</v>
      </c>
      <c r="R206" s="1049">
        <v>0</v>
      </c>
      <c r="S206" s="1863">
        <v>0</v>
      </c>
      <c r="T206" s="1310">
        <v>0</v>
      </c>
      <c r="U206" s="1310">
        <v>0</v>
      </c>
      <c r="V206" s="1310">
        <v>56741.82</v>
      </c>
      <c r="W206" s="1864" t="s">
        <v>1621</v>
      </c>
      <c r="X206" s="657" t="s">
        <v>22</v>
      </c>
      <c r="Y206" s="1062" t="s">
        <v>893</v>
      </c>
      <c r="Z206" s="1061" t="s">
        <v>838</v>
      </c>
      <c r="AA206" s="1062" t="s">
        <v>838</v>
      </c>
    </row>
    <row r="207" spans="1:27" ht="45.75" customHeight="1" thickBot="1" x14ac:dyDescent="0.3">
      <c r="A207" s="1227" t="s">
        <v>1053</v>
      </c>
      <c r="B207" s="1228" t="s">
        <v>180</v>
      </c>
      <c r="C207" s="1229">
        <v>2017</v>
      </c>
      <c r="D207" s="1229" t="s">
        <v>181</v>
      </c>
      <c r="E207" s="1230" t="s">
        <v>14</v>
      </c>
      <c r="F207" s="1937" t="s">
        <v>182</v>
      </c>
      <c r="G207" s="1938" t="s">
        <v>183</v>
      </c>
      <c r="H207" s="1231">
        <v>50300</v>
      </c>
      <c r="I207" s="1375">
        <v>0</v>
      </c>
      <c r="J207" s="182">
        <v>22016.946750000003</v>
      </c>
      <c r="K207" s="488">
        <f>22779.96356-96.91031</f>
        <v>22683.053250000001</v>
      </c>
      <c r="L207" s="2027">
        <v>44700</v>
      </c>
      <c r="M207" s="526">
        <v>0</v>
      </c>
      <c r="N207" s="1233">
        <f t="shared" si="13"/>
        <v>44700</v>
      </c>
      <c r="O207" s="1234">
        <v>0</v>
      </c>
      <c r="P207" s="1235">
        <v>0</v>
      </c>
      <c r="Q207" s="1235">
        <v>0</v>
      </c>
      <c r="R207" s="1232">
        <v>5600</v>
      </c>
      <c r="S207" s="1235">
        <v>0</v>
      </c>
      <c r="T207" s="60">
        <v>5600</v>
      </c>
      <c r="U207" s="1234">
        <v>0</v>
      </c>
      <c r="V207" s="1234">
        <v>0</v>
      </c>
      <c r="W207" s="1236" t="s">
        <v>784</v>
      </c>
      <c r="X207" s="1229" t="s">
        <v>48</v>
      </c>
      <c r="Y207" s="1811" t="s">
        <v>894</v>
      </c>
      <c r="Z207" s="1238" t="s">
        <v>839</v>
      </c>
      <c r="AA207" s="1237" t="s">
        <v>839</v>
      </c>
    </row>
    <row r="208" spans="1:27" s="710" customFormat="1" ht="25.5" x14ac:dyDescent="0.25">
      <c r="A208" s="473" t="s">
        <v>1054</v>
      </c>
      <c r="B208" s="351" t="s">
        <v>184</v>
      </c>
      <c r="C208" s="352">
        <v>2017</v>
      </c>
      <c r="D208" s="352" t="s">
        <v>181</v>
      </c>
      <c r="E208" s="353" t="s">
        <v>14</v>
      </c>
      <c r="F208" s="354" t="s">
        <v>185</v>
      </c>
      <c r="G208" s="355" t="s">
        <v>186</v>
      </c>
      <c r="H208" s="759">
        <f>14211.32-720.48309</f>
        <v>13490.83691</v>
      </c>
      <c r="I208" s="734">
        <v>10130.188659999998</v>
      </c>
      <c r="J208" s="2082">
        <v>3360.6482500000002</v>
      </c>
      <c r="K208" s="1816">
        <v>0</v>
      </c>
      <c r="L208" s="459">
        <v>3360.6482500000002</v>
      </c>
      <c r="M208" s="539">
        <v>0</v>
      </c>
      <c r="N208" s="652">
        <f t="shared" si="13"/>
        <v>3360.6482500000002</v>
      </c>
      <c r="O208" s="358">
        <v>0</v>
      </c>
      <c r="P208" s="621">
        <v>0</v>
      </c>
      <c r="Q208" s="540">
        <v>0</v>
      </c>
      <c r="R208" s="1362">
        <v>0</v>
      </c>
      <c r="S208" s="540">
        <v>0</v>
      </c>
      <c r="T208" s="357">
        <v>0</v>
      </c>
      <c r="U208" s="357">
        <v>0</v>
      </c>
      <c r="V208" s="357">
        <v>0</v>
      </c>
      <c r="W208" s="736" t="s">
        <v>784</v>
      </c>
      <c r="X208" s="352" t="s">
        <v>877</v>
      </c>
      <c r="Y208" s="359" t="s">
        <v>329</v>
      </c>
      <c r="Z208" s="402" t="s">
        <v>839</v>
      </c>
      <c r="AA208" s="359" t="s">
        <v>839</v>
      </c>
    </row>
    <row r="209" spans="1:27" s="851" customFormat="1" ht="25.5" x14ac:dyDescent="0.25">
      <c r="A209" s="1824" t="s">
        <v>1055</v>
      </c>
      <c r="B209" s="707" t="s">
        <v>187</v>
      </c>
      <c r="C209" s="708">
        <v>2017</v>
      </c>
      <c r="D209" s="708" t="s">
        <v>1047</v>
      </c>
      <c r="E209" s="709" t="s">
        <v>14</v>
      </c>
      <c r="F209" s="1046" t="s">
        <v>188</v>
      </c>
      <c r="G209" s="1825" t="s">
        <v>189</v>
      </c>
      <c r="H209" s="1679">
        <f>54035.773-23450</f>
        <v>30585.773000000001</v>
      </c>
      <c r="I209" s="1826">
        <v>558.548</v>
      </c>
      <c r="J209" s="1679">
        <v>27.225000000000001</v>
      </c>
      <c r="K209" s="1680">
        <v>0</v>
      </c>
      <c r="L209" s="1884">
        <f>27.225+23450</f>
        <v>23477.224999999999</v>
      </c>
      <c r="M209" s="1670">
        <v>-23450</v>
      </c>
      <c r="N209" s="1670">
        <f t="shared" si="13"/>
        <v>27.224999999998545</v>
      </c>
      <c r="O209" s="1828">
        <v>0</v>
      </c>
      <c r="P209" s="1685">
        <v>0</v>
      </c>
      <c r="Q209" s="1829">
        <v>0</v>
      </c>
      <c r="R209" s="1830">
        <v>0</v>
      </c>
      <c r="S209" s="1829">
        <v>0</v>
      </c>
      <c r="T209" s="1831">
        <v>30000</v>
      </c>
      <c r="U209" s="1684">
        <v>0</v>
      </c>
      <c r="V209" s="1684">
        <v>0</v>
      </c>
      <c r="W209" s="1832" t="s">
        <v>1668</v>
      </c>
      <c r="X209" s="1675" t="s">
        <v>16</v>
      </c>
      <c r="Y209" s="1833" t="s">
        <v>571</v>
      </c>
      <c r="Z209" s="1834" t="s">
        <v>838</v>
      </c>
      <c r="AA209" s="1833" t="s">
        <v>838</v>
      </c>
    </row>
    <row r="210" spans="1:27" s="777" customFormat="1" ht="25.5" x14ac:dyDescent="0.25">
      <c r="A210" s="1241" t="s">
        <v>1056</v>
      </c>
      <c r="B210" s="1043" t="s">
        <v>190</v>
      </c>
      <c r="C210" s="657">
        <v>2017</v>
      </c>
      <c r="D210" s="657" t="s">
        <v>181</v>
      </c>
      <c r="E210" s="1045" t="s">
        <v>14</v>
      </c>
      <c r="F210" s="1046" t="s">
        <v>191</v>
      </c>
      <c r="G210" s="1242" t="s">
        <v>192</v>
      </c>
      <c r="H210" s="813">
        <v>73630</v>
      </c>
      <c r="I210" s="721">
        <v>1254.8019999999999</v>
      </c>
      <c r="J210" s="813">
        <v>0</v>
      </c>
      <c r="K210" s="1310">
        <v>0</v>
      </c>
      <c r="L210" s="1827">
        <v>375.19799999999998</v>
      </c>
      <c r="M210" s="1052">
        <v>-375.19799999999998</v>
      </c>
      <c r="N210" s="1052">
        <v>0</v>
      </c>
      <c r="O210" s="1310">
        <v>0</v>
      </c>
      <c r="P210" s="1244">
        <v>0</v>
      </c>
      <c r="Q210" s="1244">
        <v>0</v>
      </c>
      <c r="R210" s="1364">
        <v>0</v>
      </c>
      <c r="S210" s="1245">
        <v>0</v>
      </c>
      <c r="T210" s="1310">
        <v>45000</v>
      </c>
      <c r="U210" s="1310">
        <f>72375.198-45000</f>
        <v>27375.198000000004</v>
      </c>
      <c r="V210" s="1310">
        <v>0</v>
      </c>
      <c r="W210" s="1864" t="s">
        <v>1640</v>
      </c>
      <c r="X210" s="657" t="s">
        <v>22</v>
      </c>
      <c r="Y210" s="1062" t="s">
        <v>571</v>
      </c>
      <c r="Z210" s="1061" t="s">
        <v>838</v>
      </c>
      <c r="AA210" s="1062" t="s">
        <v>838</v>
      </c>
    </row>
    <row r="211" spans="1:27" ht="38.25" x14ac:dyDescent="0.25">
      <c r="A211" s="341" t="s">
        <v>1057</v>
      </c>
      <c r="B211" s="345" t="s">
        <v>193</v>
      </c>
      <c r="C211" s="276">
        <v>2017</v>
      </c>
      <c r="D211" s="276" t="s">
        <v>1020</v>
      </c>
      <c r="E211" s="469" t="s">
        <v>14</v>
      </c>
      <c r="F211" s="1013" t="s">
        <v>194</v>
      </c>
      <c r="G211" s="1014" t="s">
        <v>195</v>
      </c>
      <c r="H211" s="277">
        <v>21389</v>
      </c>
      <c r="I211" s="581">
        <v>0</v>
      </c>
      <c r="J211" s="17">
        <v>0</v>
      </c>
      <c r="K211" s="450">
        <v>0</v>
      </c>
      <c r="L211" s="758">
        <v>0</v>
      </c>
      <c r="M211" s="249">
        <v>0</v>
      </c>
      <c r="N211" s="651">
        <f t="shared" si="13"/>
        <v>0</v>
      </c>
      <c r="O211" s="760">
        <v>0</v>
      </c>
      <c r="P211" s="279">
        <v>0</v>
      </c>
      <c r="Q211" s="538">
        <v>0</v>
      </c>
      <c r="R211" s="1363">
        <v>0</v>
      </c>
      <c r="S211" s="538">
        <v>0</v>
      </c>
      <c r="T211" s="278">
        <v>11389</v>
      </c>
      <c r="U211" s="278">
        <v>10000</v>
      </c>
      <c r="V211" s="278">
        <v>0</v>
      </c>
      <c r="W211" s="280" t="s">
        <v>1000</v>
      </c>
      <c r="X211" s="276" t="s">
        <v>16</v>
      </c>
      <c r="Y211" s="344" t="s">
        <v>893</v>
      </c>
      <c r="Z211" s="375" t="s">
        <v>838</v>
      </c>
      <c r="AA211" s="344" t="s">
        <v>838</v>
      </c>
    </row>
    <row r="212" spans="1:27" ht="25.5" x14ac:dyDescent="0.25">
      <c r="A212" s="341" t="s">
        <v>1058</v>
      </c>
      <c r="B212" s="345" t="s">
        <v>196</v>
      </c>
      <c r="C212" s="276">
        <v>2017</v>
      </c>
      <c r="D212" s="276" t="s">
        <v>1020</v>
      </c>
      <c r="E212" s="469" t="s">
        <v>197</v>
      </c>
      <c r="F212" s="1013" t="s">
        <v>197</v>
      </c>
      <c r="G212" s="1014" t="s">
        <v>198</v>
      </c>
      <c r="H212" s="277">
        <v>1527</v>
      </c>
      <c r="I212" s="551">
        <v>0</v>
      </c>
      <c r="J212" s="17">
        <v>0</v>
      </c>
      <c r="K212" s="450">
        <v>0</v>
      </c>
      <c r="L212" s="758">
        <v>0</v>
      </c>
      <c r="M212" s="249">
        <v>0</v>
      </c>
      <c r="N212" s="651">
        <f t="shared" si="13"/>
        <v>0</v>
      </c>
      <c r="O212" s="760">
        <v>0</v>
      </c>
      <c r="P212" s="279">
        <v>0</v>
      </c>
      <c r="Q212" s="538">
        <v>0</v>
      </c>
      <c r="R212" s="1363">
        <v>0</v>
      </c>
      <c r="S212" s="538">
        <v>0</v>
      </c>
      <c r="T212" s="33">
        <v>1527</v>
      </c>
      <c r="U212" s="1240">
        <v>0</v>
      </c>
      <c r="V212" s="278">
        <v>0</v>
      </c>
      <c r="W212" s="280" t="s">
        <v>784</v>
      </c>
      <c r="X212" s="276" t="s">
        <v>22</v>
      </c>
      <c r="Y212" s="107" t="s">
        <v>1001</v>
      </c>
      <c r="Z212" s="375" t="s">
        <v>838</v>
      </c>
      <c r="AA212" s="344" t="s">
        <v>838</v>
      </c>
    </row>
    <row r="213" spans="1:27" ht="25.5" x14ac:dyDescent="0.25">
      <c r="A213" s="65" t="s">
        <v>1059</v>
      </c>
      <c r="B213" s="88" t="s">
        <v>199</v>
      </c>
      <c r="C213" s="5">
        <v>2017</v>
      </c>
      <c r="D213" s="5" t="s">
        <v>1020</v>
      </c>
      <c r="E213" s="69" t="s">
        <v>14</v>
      </c>
      <c r="F213" s="70" t="s">
        <v>197</v>
      </c>
      <c r="G213" s="943" t="s">
        <v>200</v>
      </c>
      <c r="H213" s="17">
        <v>14599.42</v>
      </c>
      <c r="I213" s="604">
        <v>0</v>
      </c>
      <c r="J213" s="17">
        <v>139.15</v>
      </c>
      <c r="K213" s="437">
        <v>0</v>
      </c>
      <c r="L213" s="758">
        <v>139.14999999999964</v>
      </c>
      <c r="M213" s="249">
        <v>0</v>
      </c>
      <c r="N213" s="651">
        <f t="shared" si="13"/>
        <v>139.14999999999964</v>
      </c>
      <c r="O213" s="188">
        <v>0</v>
      </c>
      <c r="P213" s="18">
        <v>0</v>
      </c>
      <c r="Q213" s="34">
        <v>0</v>
      </c>
      <c r="R213" s="447">
        <v>0</v>
      </c>
      <c r="S213" s="34">
        <v>0</v>
      </c>
      <c r="T213" s="33">
        <v>0</v>
      </c>
      <c r="U213" s="33">
        <v>0</v>
      </c>
      <c r="V213" s="33">
        <v>14460.27</v>
      </c>
      <c r="W213" s="55" t="s">
        <v>1048</v>
      </c>
      <c r="X213" s="5" t="s">
        <v>22</v>
      </c>
      <c r="Y213" s="107" t="s">
        <v>1002</v>
      </c>
      <c r="Z213" s="267" t="s">
        <v>838</v>
      </c>
      <c r="AA213" s="107" t="s">
        <v>838</v>
      </c>
    </row>
    <row r="214" spans="1:27" ht="30" x14ac:dyDescent="0.25">
      <c r="A214" s="341" t="s">
        <v>1060</v>
      </c>
      <c r="B214" s="345" t="s">
        <v>201</v>
      </c>
      <c r="C214" s="276">
        <v>2017</v>
      </c>
      <c r="D214" s="276" t="s">
        <v>1020</v>
      </c>
      <c r="E214" s="1247" t="s">
        <v>202</v>
      </c>
      <c r="F214" s="1248" t="s">
        <v>202</v>
      </c>
      <c r="G214" s="1014" t="s">
        <v>203</v>
      </c>
      <c r="H214" s="277">
        <v>2002</v>
      </c>
      <c r="I214" s="551">
        <v>482.005</v>
      </c>
      <c r="J214" s="17">
        <v>0</v>
      </c>
      <c r="K214" s="450">
        <f>300-0.005</f>
        <v>299.995</v>
      </c>
      <c r="L214" s="758">
        <v>299.995</v>
      </c>
      <c r="M214" s="249">
        <v>0</v>
      </c>
      <c r="N214" s="651">
        <f t="shared" si="13"/>
        <v>299.995</v>
      </c>
      <c r="O214" s="1249">
        <v>0</v>
      </c>
      <c r="P214" s="279">
        <v>0</v>
      </c>
      <c r="Q214" s="538">
        <v>450</v>
      </c>
      <c r="R214" s="1363">
        <v>0</v>
      </c>
      <c r="S214" s="538">
        <v>0</v>
      </c>
      <c r="T214" s="348">
        <v>770</v>
      </c>
      <c r="U214" s="348">
        <v>0</v>
      </c>
      <c r="V214" s="348">
        <v>0</v>
      </c>
      <c r="W214" s="472" t="s">
        <v>926</v>
      </c>
      <c r="X214" s="276" t="s">
        <v>48</v>
      </c>
      <c r="Y214" s="344" t="s">
        <v>27</v>
      </c>
      <c r="Z214" s="375" t="s">
        <v>839</v>
      </c>
      <c r="AA214" s="344" t="s">
        <v>839</v>
      </c>
    </row>
    <row r="215" spans="1:27" s="710" customFormat="1" ht="25.5" x14ac:dyDescent="0.25">
      <c r="A215" s="1212" t="s">
        <v>1061</v>
      </c>
      <c r="B215" s="1213" t="s">
        <v>204</v>
      </c>
      <c r="C215" s="1214">
        <v>2017</v>
      </c>
      <c r="D215" s="1214" t="s">
        <v>1020</v>
      </c>
      <c r="E215" s="1215" t="s">
        <v>202</v>
      </c>
      <c r="F215" s="1216" t="s">
        <v>202</v>
      </c>
      <c r="G215" s="1217" t="s">
        <v>205</v>
      </c>
      <c r="H215" s="1279">
        <v>1372.1410000000001</v>
      </c>
      <c r="I215" s="737">
        <v>42.35</v>
      </c>
      <c r="J215" s="700">
        <v>1142.249</v>
      </c>
      <c r="K215" s="1071">
        <f>211.742-24.2</f>
        <v>187.542</v>
      </c>
      <c r="L215" s="1220">
        <v>1657.65</v>
      </c>
      <c r="M215" s="1021">
        <v>-327.85899999999998</v>
      </c>
      <c r="N215" s="1221">
        <f t="shared" si="13"/>
        <v>1329.7910000000002</v>
      </c>
      <c r="O215" s="1250">
        <v>0</v>
      </c>
      <c r="P215" s="1223">
        <v>0</v>
      </c>
      <c r="Q215" s="1251">
        <v>0</v>
      </c>
      <c r="R215" s="1362">
        <v>0</v>
      </c>
      <c r="S215" s="540">
        <v>0</v>
      </c>
      <c r="T215" s="1252">
        <v>0</v>
      </c>
      <c r="U215" s="1222">
        <v>0</v>
      </c>
      <c r="V215" s="1222">
        <v>0</v>
      </c>
      <c r="W215" s="735" t="s">
        <v>1607</v>
      </c>
      <c r="X215" s="1214" t="s">
        <v>877</v>
      </c>
      <c r="Y215" s="1225" t="s">
        <v>27</v>
      </c>
      <c r="Z215" s="1226" t="s">
        <v>839</v>
      </c>
      <c r="AA215" s="1372" t="s">
        <v>1604</v>
      </c>
    </row>
    <row r="216" spans="1:27" ht="30" x14ac:dyDescent="0.25">
      <c r="A216" s="341" t="s">
        <v>1062</v>
      </c>
      <c r="B216" s="345" t="s">
        <v>206</v>
      </c>
      <c r="C216" s="276">
        <v>2017</v>
      </c>
      <c r="D216" s="276" t="s">
        <v>1020</v>
      </c>
      <c r="E216" s="469" t="s">
        <v>207</v>
      </c>
      <c r="F216" s="1013" t="s">
        <v>207</v>
      </c>
      <c r="G216" s="1014" t="s">
        <v>208</v>
      </c>
      <c r="H216" s="277">
        <v>1300</v>
      </c>
      <c r="I216" s="551">
        <v>0</v>
      </c>
      <c r="J216" s="17">
        <v>0</v>
      </c>
      <c r="K216" s="450">
        <v>0</v>
      </c>
      <c r="L216" s="758">
        <v>0</v>
      </c>
      <c r="M216" s="249">
        <v>0</v>
      </c>
      <c r="N216" s="651">
        <f t="shared" si="13"/>
        <v>0</v>
      </c>
      <c r="O216" s="760">
        <v>0</v>
      </c>
      <c r="P216" s="279">
        <v>0</v>
      </c>
      <c r="Q216" s="538">
        <v>0</v>
      </c>
      <c r="R216" s="1363">
        <v>0</v>
      </c>
      <c r="S216" s="538">
        <v>0</v>
      </c>
      <c r="T216" s="348">
        <v>0</v>
      </c>
      <c r="U216" s="278">
        <v>1300</v>
      </c>
      <c r="V216" s="278">
        <v>0</v>
      </c>
      <c r="W216" s="280" t="s">
        <v>784</v>
      </c>
      <c r="X216" s="276" t="s">
        <v>22</v>
      </c>
      <c r="Y216" s="344" t="s">
        <v>892</v>
      </c>
      <c r="Z216" s="375" t="s">
        <v>838</v>
      </c>
      <c r="AA216" s="344" t="s">
        <v>838</v>
      </c>
    </row>
    <row r="217" spans="1:27" ht="38.25" x14ac:dyDescent="0.25">
      <c r="A217" s="341" t="s">
        <v>1063</v>
      </c>
      <c r="B217" s="345" t="s">
        <v>210</v>
      </c>
      <c r="C217" s="276">
        <v>2017</v>
      </c>
      <c r="D217" s="276" t="s">
        <v>1020</v>
      </c>
      <c r="E217" s="469" t="s">
        <v>14</v>
      </c>
      <c r="F217" s="1013" t="s">
        <v>211</v>
      </c>
      <c r="G217" s="1014" t="s">
        <v>212</v>
      </c>
      <c r="H217" s="277">
        <v>17756</v>
      </c>
      <c r="I217" s="581">
        <v>603.79</v>
      </c>
      <c r="J217" s="17">
        <v>0</v>
      </c>
      <c r="K217" s="450">
        <v>0</v>
      </c>
      <c r="L217" s="59">
        <v>0</v>
      </c>
      <c r="M217" s="249">
        <v>0</v>
      </c>
      <c r="N217" s="651">
        <f t="shared" si="13"/>
        <v>0</v>
      </c>
      <c r="O217" s="760">
        <v>0</v>
      </c>
      <c r="P217" s="279">
        <v>0</v>
      </c>
      <c r="Q217" s="538">
        <v>0</v>
      </c>
      <c r="R217" s="1363">
        <v>0</v>
      </c>
      <c r="S217" s="538">
        <v>0</v>
      </c>
      <c r="T217" s="278">
        <v>0</v>
      </c>
      <c r="U217" s="278">
        <v>0</v>
      </c>
      <c r="V217" s="278">
        <v>17152.21</v>
      </c>
      <c r="W217" s="280" t="s">
        <v>999</v>
      </c>
      <c r="X217" s="276" t="s">
        <v>16</v>
      </c>
      <c r="Y217" s="344" t="s">
        <v>893</v>
      </c>
      <c r="Z217" s="375" t="s">
        <v>838</v>
      </c>
      <c r="AA217" s="344" t="s">
        <v>838</v>
      </c>
    </row>
    <row r="218" spans="1:27" ht="25.5" x14ac:dyDescent="0.25">
      <c r="A218" s="341" t="s">
        <v>1064</v>
      </c>
      <c r="B218" s="345" t="s">
        <v>213</v>
      </c>
      <c r="C218" s="276">
        <v>2017</v>
      </c>
      <c r="D218" s="276" t="s">
        <v>1020</v>
      </c>
      <c r="E218" s="469" t="s">
        <v>14</v>
      </c>
      <c r="F218" s="1013" t="s">
        <v>214</v>
      </c>
      <c r="G218" s="1014" t="s">
        <v>215</v>
      </c>
      <c r="H218" s="277">
        <v>88000</v>
      </c>
      <c r="I218" s="551">
        <v>0</v>
      </c>
      <c r="J218" s="17">
        <v>0</v>
      </c>
      <c r="K218" s="450">
        <v>0</v>
      </c>
      <c r="L218" s="59">
        <v>0</v>
      </c>
      <c r="M218" s="249">
        <v>0</v>
      </c>
      <c r="N218" s="651">
        <f t="shared" si="13"/>
        <v>0</v>
      </c>
      <c r="O218" s="760">
        <v>0</v>
      </c>
      <c r="P218" s="279">
        <v>0</v>
      </c>
      <c r="Q218" s="538">
        <v>0</v>
      </c>
      <c r="R218" s="1363">
        <v>0</v>
      </c>
      <c r="S218" s="538">
        <v>0</v>
      </c>
      <c r="T218" s="348">
        <v>7000</v>
      </c>
      <c r="U218" s="348">
        <v>81000</v>
      </c>
      <c r="V218" s="287">
        <v>0</v>
      </c>
      <c r="W218" s="349" t="s">
        <v>1479</v>
      </c>
      <c r="X218" s="276" t="s">
        <v>22</v>
      </c>
      <c r="Y218" s="344" t="s">
        <v>755</v>
      </c>
      <c r="Z218" s="375" t="s">
        <v>838</v>
      </c>
      <c r="AA218" s="344" t="s">
        <v>838</v>
      </c>
    </row>
    <row r="219" spans="1:27" s="686" customFormat="1" ht="25.5" x14ac:dyDescent="0.25">
      <c r="A219" s="1254" t="s">
        <v>1065</v>
      </c>
      <c r="B219" s="1255" t="s">
        <v>216</v>
      </c>
      <c r="C219" s="1256">
        <v>2017</v>
      </c>
      <c r="D219" s="1256" t="s">
        <v>1020</v>
      </c>
      <c r="E219" s="1257" t="s">
        <v>217</v>
      </c>
      <c r="F219" s="1258" t="s">
        <v>217</v>
      </c>
      <c r="G219" s="1259" t="s">
        <v>218</v>
      </c>
      <c r="H219" s="1260">
        <v>4800</v>
      </c>
      <c r="I219" s="1809">
        <v>291.61</v>
      </c>
      <c r="J219" s="691">
        <v>4127.9110099999998</v>
      </c>
      <c r="K219" s="841">
        <v>380.47899000000001</v>
      </c>
      <c r="L219" s="1124">
        <v>5078.62</v>
      </c>
      <c r="M219" s="844">
        <v>-570.23</v>
      </c>
      <c r="N219" s="1817">
        <f t="shared" si="13"/>
        <v>4508.3899999999994</v>
      </c>
      <c r="O219" s="1261">
        <v>0</v>
      </c>
      <c r="P219" s="1262">
        <v>0</v>
      </c>
      <c r="Q219" s="1263">
        <v>0</v>
      </c>
      <c r="R219" s="1819">
        <v>0</v>
      </c>
      <c r="S219" s="1818">
        <v>0</v>
      </c>
      <c r="T219" s="1264">
        <v>0</v>
      </c>
      <c r="U219" s="1265">
        <v>0</v>
      </c>
      <c r="V219" s="1265">
        <v>0</v>
      </c>
      <c r="W219" s="1266" t="s">
        <v>1608</v>
      </c>
      <c r="X219" s="1256" t="s">
        <v>48</v>
      </c>
      <c r="Y219" s="1267" t="s">
        <v>571</v>
      </c>
      <c r="Z219" s="1268" t="s">
        <v>839</v>
      </c>
      <c r="AA219" s="1267" t="s">
        <v>838</v>
      </c>
    </row>
    <row r="220" spans="1:27" ht="39" customHeight="1" x14ac:dyDescent="0.25">
      <c r="A220" s="1241" t="s">
        <v>1066</v>
      </c>
      <c r="B220" s="1043" t="s">
        <v>219</v>
      </c>
      <c r="C220" s="657">
        <v>2017</v>
      </c>
      <c r="D220" s="657" t="s">
        <v>1020</v>
      </c>
      <c r="E220" s="1045" t="s">
        <v>14</v>
      </c>
      <c r="F220" s="1046" t="s">
        <v>220</v>
      </c>
      <c r="G220" s="1242" t="s">
        <v>221</v>
      </c>
      <c r="H220" s="813">
        <v>10000.39114</v>
      </c>
      <c r="I220" s="658">
        <v>29.7</v>
      </c>
      <c r="J220" s="813">
        <v>0</v>
      </c>
      <c r="K220" s="1050">
        <v>204.49</v>
      </c>
      <c r="L220" s="1827">
        <v>290</v>
      </c>
      <c r="M220" s="1052">
        <v>-85.51</v>
      </c>
      <c r="N220" s="1052">
        <f t="shared" si="13"/>
        <v>204.49</v>
      </c>
      <c r="O220" s="1865">
        <v>0</v>
      </c>
      <c r="P220" s="1244">
        <v>0</v>
      </c>
      <c r="Q220" s="1245">
        <v>0</v>
      </c>
      <c r="R220" s="1364">
        <v>0</v>
      </c>
      <c r="S220" s="1245">
        <v>0</v>
      </c>
      <c r="T220" s="1246">
        <v>9766.2011399999992</v>
      </c>
      <c r="U220" s="1310">
        <v>0</v>
      </c>
      <c r="V220" s="1058">
        <v>0</v>
      </c>
      <c r="W220" s="1864" t="s">
        <v>1620</v>
      </c>
      <c r="X220" s="657" t="s">
        <v>22</v>
      </c>
      <c r="Y220" s="1062" t="s">
        <v>856</v>
      </c>
      <c r="Z220" s="1061" t="s">
        <v>838</v>
      </c>
      <c r="AA220" s="1062" t="s">
        <v>838</v>
      </c>
    </row>
    <row r="221" spans="1:27" s="710" customFormat="1" ht="25.5" x14ac:dyDescent="0.25">
      <c r="A221" s="473" t="s">
        <v>1067</v>
      </c>
      <c r="B221" s="351" t="s">
        <v>222</v>
      </c>
      <c r="C221" s="352">
        <v>2017</v>
      </c>
      <c r="D221" s="352" t="s">
        <v>1020</v>
      </c>
      <c r="E221" s="353" t="s">
        <v>223</v>
      </c>
      <c r="F221" s="354" t="s">
        <v>223</v>
      </c>
      <c r="G221" s="355" t="s">
        <v>224</v>
      </c>
      <c r="H221" s="356">
        <v>7700</v>
      </c>
      <c r="I221" s="734">
        <v>223.85</v>
      </c>
      <c r="J221" s="22">
        <v>7476.1500000000005</v>
      </c>
      <c r="K221" s="455">
        <v>0</v>
      </c>
      <c r="L221" s="460">
        <v>7476.15</v>
      </c>
      <c r="M221" s="539">
        <v>0</v>
      </c>
      <c r="N221" s="652">
        <f t="shared" si="13"/>
        <v>7476.15</v>
      </c>
      <c r="O221" s="358">
        <v>0</v>
      </c>
      <c r="P221" s="621">
        <v>0</v>
      </c>
      <c r="Q221" s="540">
        <v>0</v>
      </c>
      <c r="R221" s="1362">
        <v>0</v>
      </c>
      <c r="S221" s="540">
        <v>0</v>
      </c>
      <c r="T221" s="357">
        <v>0</v>
      </c>
      <c r="U221" s="357">
        <v>0</v>
      </c>
      <c r="V221" s="542">
        <v>0</v>
      </c>
      <c r="W221" s="363" t="s">
        <v>784</v>
      </c>
      <c r="X221" s="72" t="s">
        <v>877</v>
      </c>
      <c r="Y221" s="359" t="s">
        <v>659</v>
      </c>
      <c r="Z221" s="402" t="s">
        <v>839</v>
      </c>
      <c r="AA221" s="359" t="s">
        <v>839</v>
      </c>
    </row>
    <row r="222" spans="1:27" s="703" customFormat="1" ht="25.5" x14ac:dyDescent="0.25">
      <c r="A222" s="1212" t="s">
        <v>1068</v>
      </c>
      <c r="B222" s="1213" t="s">
        <v>225</v>
      </c>
      <c r="C222" s="1214">
        <v>2017</v>
      </c>
      <c r="D222" s="1214" t="s">
        <v>809</v>
      </c>
      <c r="E222" s="1215" t="s">
        <v>14</v>
      </c>
      <c r="F222" s="1216" t="s">
        <v>226</v>
      </c>
      <c r="G222" s="1217" t="s">
        <v>227</v>
      </c>
      <c r="H222" s="1279">
        <f>5760-651.33986</f>
        <v>5108.66014</v>
      </c>
      <c r="I222" s="1866">
        <v>5108.6601400000009</v>
      </c>
      <c r="J222" s="700">
        <v>0</v>
      </c>
      <c r="K222" s="1071">
        <v>0</v>
      </c>
      <c r="L222" s="1072">
        <v>651.33986000000004</v>
      </c>
      <c r="M222" s="1021">
        <v>-651.33986000000004</v>
      </c>
      <c r="N222" s="1221">
        <f t="shared" si="13"/>
        <v>0</v>
      </c>
      <c r="O222" s="1250">
        <v>0</v>
      </c>
      <c r="P222" s="1223">
        <v>0</v>
      </c>
      <c r="Q222" s="1251">
        <v>0</v>
      </c>
      <c r="R222" s="1365">
        <v>0</v>
      </c>
      <c r="S222" s="1251">
        <v>0</v>
      </c>
      <c r="T222" s="1222">
        <v>0</v>
      </c>
      <c r="U222" s="1222">
        <v>0</v>
      </c>
      <c r="V222" s="1410">
        <v>0</v>
      </c>
      <c r="W222" s="735" t="s">
        <v>1595</v>
      </c>
      <c r="X222" s="1411" t="s">
        <v>877</v>
      </c>
      <c r="Y222" s="1372" t="s">
        <v>572</v>
      </c>
      <c r="Z222" s="1226" t="s">
        <v>839</v>
      </c>
      <c r="AA222" s="1225" t="s">
        <v>839</v>
      </c>
    </row>
    <row r="223" spans="1:27" ht="25.5" x14ac:dyDescent="0.25">
      <c r="A223" s="341" t="s">
        <v>1069</v>
      </c>
      <c r="B223" s="345" t="s">
        <v>228</v>
      </c>
      <c r="C223" s="276">
        <v>2018</v>
      </c>
      <c r="D223" s="276" t="s">
        <v>1030</v>
      </c>
      <c r="E223" s="469" t="s">
        <v>230</v>
      </c>
      <c r="F223" s="1013" t="s">
        <v>230</v>
      </c>
      <c r="G223" s="1014" t="s">
        <v>231</v>
      </c>
      <c r="H223" s="277">
        <v>5022</v>
      </c>
      <c r="I223" s="581">
        <v>0</v>
      </c>
      <c r="J223" s="17">
        <v>0</v>
      </c>
      <c r="K223" s="437">
        <v>0</v>
      </c>
      <c r="L223" s="59">
        <v>0</v>
      </c>
      <c r="M223" s="249">
        <v>0</v>
      </c>
      <c r="N223" s="651">
        <f t="shared" si="13"/>
        <v>0</v>
      </c>
      <c r="O223" s="760">
        <v>0</v>
      </c>
      <c r="P223" s="279">
        <v>0</v>
      </c>
      <c r="Q223" s="538">
        <v>522</v>
      </c>
      <c r="R223" s="1363">
        <v>0</v>
      </c>
      <c r="S223" s="538">
        <v>0</v>
      </c>
      <c r="T223" s="278">
        <v>4500</v>
      </c>
      <c r="U223" s="278">
        <v>0</v>
      </c>
      <c r="V223" s="287">
        <v>0</v>
      </c>
      <c r="W223" s="280" t="s">
        <v>927</v>
      </c>
      <c r="X223" s="653" t="s">
        <v>22</v>
      </c>
      <c r="Y223" s="371" t="s">
        <v>571</v>
      </c>
      <c r="Z223" s="1371" t="s">
        <v>838</v>
      </c>
      <c r="AA223" s="344" t="s">
        <v>838</v>
      </c>
    </row>
    <row r="224" spans="1:27" s="710" customFormat="1" ht="25.5" x14ac:dyDescent="0.25">
      <c r="A224" s="473" t="s">
        <v>1070</v>
      </c>
      <c r="B224" s="351" t="s">
        <v>233</v>
      </c>
      <c r="C224" s="352">
        <v>2018</v>
      </c>
      <c r="D224" s="352" t="s">
        <v>1030</v>
      </c>
      <c r="E224" s="353" t="s">
        <v>211</v>
      </c>
      <c r="F224" s="354" t="s">
        <v>211</v>
      </c>
      <c r="G224" s="355" t="s">
        <v>234</v>
      </c>
      <c r="H224" s="356">
        <v>5650.5428199999997</v>
      </c>
      <c r="I224" s="734">
        <v>0</v>
      </c>
      <c r="J224" s="22">
        <v>5650.5428199999997</v>
      </c>
      <c r="K224" s="455">
        <v>0</v>
      </c>
      <c r="L224" s="460">
        <v>5650.5428199999997</v>
      </c>
      <c r="M224" s="539">
        <v>0</v>
      </c>
      <c r="N224" s="652">
        <f t="shared" si="13"/>
        <v>5650.5428199999997</v>
      </c>
      <c r="O224" s="358">
        <v>0</v>
      </c>
      <c r="P224" s="621">
        <v>0</v>
      </c>
      <c r="Q224" s="540">
        <v>0</v>
      </c>
      <c r="R224" s="1362">
        <v>0</v>
      </c>
      <c r="S224" s="540">
        <v>0</v>
      </c>
      <c r="T224" s="357">
        <v>0</v>
      </c>
      <c r="U224" s="357">
        <v>0</v>
      </c>
      <c r="V224" s="542">
        <v>0</v>
      </c>
      <c r="W224" s="363" t="s">
        <v>784</v>
      </c>
      <c r="X224" s="352" t="s">
        <v>877</v>
      </c>
      <c r="Y224" s="359" t="s">
        <v>775</v>
      </c>
      <c r="Z224" s="402" t="s">
        <v>839</v>
      </c>
      <c r="AA224" s="359" t="s">
        <v>839</v>
      </c>
    </row>
    <row r="225" spans="1:27" ht="25.5" x14ac:dyDescent="0.25">
      <c r="A225" s="341" t="s">
        <v>1071</v>
      </c>
      <c r="B225" s="345" t="s">
        <v>235</v>
      </c>
      <c r="C225" s="276">
        <v>2018</v>
      </c>
      <c r="D225" s="276" t="s">
        <v>1030</v>
      </c>
      <c r="E225" s="469" t="s">
        <v>236</v>
      </c>
      <c r="F225" s="1013" t="s">
        <v>236</v>
      </c>
      <c r="G225" s="1014" t="s">
        <v>237</v>
      </c>
      <c r="H225" s="277">
        <v>2500</v>
      </c>
      <c r="I225" s="551">
        <v>0</v>
      </c>
      <c r="J225" s="17">
        <v>0</v>
      </c>
      <c r="K225" s="18">
        <v>150</v>
      </c>
      <c r="L225" s="758">
        <v>150</v>
      </c>
      <c r="M225" s="249">
        <v>0</v>
      </c>
      <c r="N225" s="651">
        <f t="shared" si="13"/>
        <v>150</v>
      </c>
      <c r="O225" s="760">
        <v>0</v>
      </c>
      <c r="P225" s="279">
        <v>0</v>
      </c>
      <c r="Q225" s="538">
        <v>0</v>
      </c>
      <c r="R225" s="1363">
        <v>0</v>
      </c>
      <c r="S225" s="538">
        <v>0</v>
      </c>
      <c r="T225" s="348">
        <v>2350</v>
      </c>
      <c r="U225" s="278">
        <v>0</v>
      </c>
      <c r="V225" s="287">
        <v>0</v>
      </c>
      <c r="W225" s="280" t="s">
        <v>1480</v>
      </c>
      <c r="X225" s="276" t="s">
        <v>22</v>
      </c>
      <c r="Y225" s="344" t="s">
        <v>894</v>
      </c>
      <c r="Z225" s="1371" t="s">
        <v>1522</v>
      </c>
      <c r="AA225" s="344" t="s">
        <v>838</v>
      </c>
    </row>
    <row r="226" spans="1:27" ht="25.5" x14ac:dyDescent="0.25">
      <c r="A226" s="341" t="s">
        <v>1072</v>
      </c>
      <c r="B226" s="345" t="s">
        <v>238</v>
      </c>
      <c r="C226" s="276">
        <v>2018</v>
      </c>
      <c r="D226" s="276" t="s">
        <v>1030</v>
      </c>
      <c r="E226" s="469" t="s">
        <v>14</v>
      </c>
      <c r="F226" s="1013" t="s">
        <v>239</v>
      </c>
      <c r="G226" s="1014" t="s">
        <v>240</v>
      </c>
      <c r="H226" s="277">
        <v>14100</v>
      </c>
      <c r="I226" s="551">
        <v>0</v>
      </c>
      <c r="J226" s="17">
        <v>3614.3735299999998</v>
      </c>
      <c r="K226" s="629">
        <f>5321.12307+4964.5034</f>
        <v>10285.626469999999</v>
      </c>
      <c r="L226" s="758">
        <v>13900</v>
      </c>
      <c r="M226" s="249">
        <v>0</v>
      </c>
      <c r="N226" s="651">
        <f t="shared" si="13"/>
        <v>13900</v>
      </c>
      <c r="O226" s="760">
        <v>0</v>
      </c>
      <c r="P226" s="279">
        <v>0</v>
      </c>
      <c r="Q226" s="538">
        <v>200</v>
      </c>
      <c r="R226" s="1363">
        <v>0</v>
      </c>
      <c r="S226" s="538">
        <v>0</v>
      </c>
      <c r="T226" s="348">
        <v>0</v>
      </c>
      <c r="U226" s="278">
        <v>0</v>
      </c>
      <c r="V226" s="287">
        <v>0</v>
      </c>
      <c r="W226" s="280" t="s">
        <v>928</v>
      </c>
      <c r="X226" s="276" t="s">
        <v>48</v>
      </c>
      <c r="Y226" s="344" t="s">
        <v>571</v>
      </c>
      <c r="Z226" s="375" t="s">
        <v>839</v>
      </c>
      <c r="AA226" s="344" t="s">
        <v>839</v>
      </c>
    </row>
    <row r="227" spans="1:27" ht="30" x14ac:dyDescent="0.25">
      <c r="A227" s="1241" t="s">
        <v>1073</v>
      </c>
      <c r="B227" s="1043" t="s">
        <v>242</v>
      </c>
      <c r="C227" s="657">
        <v>2018</v>
      </c>
      <c r="D227" s="657" t="s">
        <v>241</v>
      </c>
      <c r="E227" s="1045" t="s">
        <v>230</v>
      </c>
      <c r="F227" s="1046" t="s">
        <v>230</v>
      </c>
      <c r="G227" s="1242" t="s">
        <v>243</v>
      </c>
      <c r="H227" s="813">
        <v>6900</v>
      </c>
      <c r="I227" s="721">
        <v>0</v>
      </c>
      <c r="J227" s="813">
        <v>0</v>
      </c>
      <c r="K227" s="1050">
        <v>0</v>
      </c>
      <c r="L227" s="1051">
        <v>500</v>
      </c>
      <c r="M227" s="1052">
        <v>-500</v>
      </c>
      <c r="N227" s="1052">
        <f t="shared" si="13"/>
        <v>0</v>
      </c>
      <c r="O227" s="1243">
        <v>0</v>
      </c>
      <c r="P227" s="1244">
        <v>0</v>
      </c>
      <c r="Q227" s="1245">
        <v>0</v>
      </c>
      <c r="R227" s="1364">
        <v>500</v>
      </c>
      <c r="S227" s="1245">
        <v>0</v>
      </c>
      <c r="T227" s="1310">
        <v>500</v>
      </c>
      <c r="U227" s="1310">
        <v>0</v>
      </c>
      <c r="V227" s="1058">
        <v>6400</v>
      </c>
      <c r="W227" s="689" t="s">
        <v>1622</v>
      </c>
      <c r="X227" s="657" t="s">
        <v>22</v>
      </c>
      <c r="Y227" s="1062" t="s">
        <v>1001</v>
      </c>
      <c r="Z227" s="1061" t="s">
        <v>838</v>
      </c>
      <c r="AA227" s="1062" t="s">
        <v>838</v>
      </c>
    </row>
    <row r="228" spans="1:27" ht="38.25" x14ac:dyDescent="0.25">
      <c r="A228" s="341" t="s">
        <v>1074</v>
      </c>
      <c r="B228" s="345" t="s">
        <v>244</v>
      </c>
      <c r="C228" s="276">
        <v>2018</v>
      </c>
      <c r="D228" s="276" t="s">
        <v>241</v>
      </c>
      <c r="E228" s="469" t="s">
        <v>14</v>
      </c>
      <c r="F228" s="1013" t="s">
        <v>245</v>
      </c>
      <c r="G228" s="1014" t="s">
        <v>246</v>
      </c>
      <c r="H228" s="277">
        <v>69060</v>
      </c>
      <c r="I228" s="581">
        <v>111.8</v>
      </c>
      <c r="J228" s="17">
        <v>0</v>
      </c>
      <c r="K228" s="450">
        <v>0</v>
      </c>
      <c r="L228" s="59">
        <v>0</v>
      </c>
      <c r="M228" s="249">
        <v>0</v>
      </c>
      <c r="N228" s="651">
        <f t="shared" si="13"/>
        <v>0</v>
      </c>
      <c r="O228" s="760">
        <v>0</v>
      </c>
      <c r="P228" s="279">
        <v>0</v>
      </c>
      <c r="Q228" s="538">
        <v>0</v>
      </c>
      <c r="R228" s="1363">
        <v>0</v>
      </c>
      <c r="S228" s="538">
        <v>0</v>
      </c>
      <c r="T228" s="278">
        <v>0</v>
      </c>
      <c r="U228" s="278">
        <v>0</v>
      </c>
      <c r="V228" s="278">
        <v>68948.2</v>
      </c>
      <c r="W228" s="280" t="s">
        <v>929</v>
      </c>
      <c r="X228" s="276" t="s">
        <v>16</v>
      </c>
      <c r="Y228" s="344" t="s">
        <v>893</v>
      </c>
      <c r="Z228" s="375" t="s">
        <v>838</v>
      </c>
      <c r="AA228" s="344" t="s">
        <v>838</v>
      </c>
    </row>
    <row r="229" spans="1:27" s="717" customFormat="1" ht="30" x14ac:dyDescent="0.25">
      <c r="A229" s="1350" t="s">
        <v>1075</v>
      </c>
      <c r="B229" s="1487" t="s">
        <v>247</v>
      </c>
      <c r="C229" s="683">
        <v>2018</v>
      </c>
      <c r="D229" s="683" t="s">
        <v>241</v>
      </c>
      <c r="E229" s="1488" t="s">
        <v>248</v>
      </c>
      <c r="F229" s="1835" t="s">
        <v>248</v>
      </c>
      <c r="G229" s="1836" t="s">
        <v>249</v>
      </c>
      <c r="H229" s="1409">
        <v>999.76</v>
      </c>
      <c r="I229" s="706">
        <v>48.4</v>
      </c>
      <c r="J229" s="1409">
        <v>0</v>
      </c>
      <c r="K229" s="1837">
        <v>0</v>
      </c>
      <c r="L229" s="1838">
        <v>651.6</v>
      </c>
      <c r="M229" s="1326">
        <v>-651.6</v>
      </c>
      <c r="N229" s="1326">
        <f t="shared" si="13"/>
        <v>0</v>
      </c>
      <c r="O229" s="1839">
        <v>0</v>
      </c>
      <c r="P229" s="1345">
        <v>253</v>
      </c>
      <c r="Q229" s="1587">
        <v>0</v>
      </c>
      <c r="R229" s="1583">
        <v>0</v>
      </c>
      <c r="S229" s="1587">
        <v>0</v>
      </c>
      <c r="T229" s="1339">
        <f>746.76-48.4</f>
        <v>698.36</v>
      </c>
      <c r="U229" s="1339">
        <v>0</v>
      </c>
      <c r="V229" s="1343">
        <v>0</v>
      </c>
      <c r="W229" s="662" t="s">
        <v>1609</v>
      </c>
      <c r="X229" s="683" t="s">
        <v>22</v>
      </c>
      <c r="Y229" s="1347" t="s">
        <v>891</v>
      </c>
      <c r="Z229" s="1348" t="s">
        <v>838</v>
      </c>
      <c r="AA229" s="1347" t="s">
        <v>838</v>
      </c>
    </row>
    <row r="230" spans="1:27" s="710" customFormat="1" ht="25.5" x14ac:dyDescent="0.25">
      <c r="A230" s="473" t="s">
        <v>1076</v>
      </c>
      <c r="B230" s="351" t="s">
        <v>250</v>
      </c>
      <c r="C230" s="352">
        <v>2018</v>
      </c>
      <c r="D230" s="352" t="s">
        <v>241</v>
      </c>
      <c r="E230" s="353" t="s">
        <v>251</v>
      </c>
      <c r="F230" s="354" t="s">
        <v>251</v>
      </c>
      <c r="G230" s="355" t="s">
        <v>252</v>
      </c>
      <c r="H230" s="356">
        <v>180.358</v>
      </c>
      <c r="I230" s="550">
        <v>0</v>
      </c>
      <c r="J230" s="22">
        <v>180.35824</v>
      </c>
      <c r="K230" s="461">
        <v>0</v>
      </c>
      <c r="L230" s="459">
        <v>180.358</v>
      </c>
      <c r="M230" s="539">
        <v>0</v>
      </c>
      <c r="N230" s="652">
        <f t="shared" si="13"/>
        <v>180.358</v>
      </c>
      <c r="O230" s="358">
        <v>0</v>
      </c>
      <c r="P230" s="621">
        <v>0</v>
      </c>
      <c r="Q230" s="540">
        <v>0</v>
      </c>
      <c r="R230" s="1362">
        <v>0</v>
      </c>
      <c r="S230" s="540">
        <v>0</v>
      </c>
      <c r="T230" s="541">
        <v>0</v>
      </c>
      <c r="U230" s="357">
        <v>0</v>
      </c>
      <c r="V230" s="542">
        <v>0</v>
      </c>
      <c r="W230" s="363" t="s">
        <v>784</v>
      </c>
      <c r="X230" s="352" t="s">
        <v>877</v>
      </c>
      <c r="Y230" s="359" t="s">
        <v>775</v>
      </c>
      <c r="Z230" s="402" t="s">
        <v>839</v>
      </c>
      <c r="AA230" s="359" t="s">
        <v>839</v>
      </c>
    </row>
    <row r="231" spans="1:27" ht="25.5" x14ac:dyDescent="0.25">
      <c r="A231" s="1241" t="s">
        <v>1077</v>
      </c>
      <c r="B231" s="1043" t="s">
        <v>253</v>
      </c>
      <c r="C231" s="657">
        <v>2018</v>
      </c>
      <c r="D231" s="657" t="s">
        <v>241</v>
      </c>
      <c r="E231" s="1045" t="s">
        <v>14</v>
      </c>
      <c r="F231" s="1046" t="s">
        <v>254</v>
      </c>
      <c r="G231" s="1242" t="s">
        <v>255</v>
      </c>
      <c r="H231" s="813">
        <v>35544.959999999999</v>
      </c>
      <c r="I231" s="658">
        <v>0</v>
      </c>
      <c r="J231" s="813">
        <v>1554.0030000000002</v>
      </c>
      <c r="K231" s="1050">
        <v>0</v>
      </c>
      <c r="L231" s="1827">
        <v>2000</v>
      </c>
      <c r="M231" s="1052">
        <v>-445.99700000000001</v>
      </c>
      <c r="N231" s="1052">
        <f t="shared" si="13"/>
        <v>1554.0029999999999</v>
      </c>
      <c r="O231" s="1243">
        <v>0</v>
      </c>
      <c r="P231" s="1244">
        <v>0</v>
      </c>
      <c r="Q231" s="1245">
        <v>0</v>
      </c>
      <c r="R231" s="1364">
        <v>0</v>
      </c>
      <c r="S231" s="1245">
        <v>0</v>
      </c>
      <c r="T231" s="1246">
        <v>0</v>
      </c>
      <c r="U231" s="1310">
        <v>33990.957000000002</v>
      </c>
      <c r="V231" s="1058">
        <v>0</v>
      </c>
      <c r="W231" s="1864" t="s">
        <v>1623</v>
      </c>
      <c r="X231" s="657" t="s">
        <v>22</v>
      </c>
      <c r="Y231" s="1062" t="s">
        <v>731</v>
      </c>
      <c r="Z231" s="1061" t="s">
        <v>838</v>
      </c>
      <c r="AA231" s="1062" t="s">
        <v>838</v>
      </c>
    </row>
    <row r="232" spans="1:27" ht="25.5" x14ac:dyDescent="0.25">
      <c r="A232" s="341" t="s">
        <v>1078</v>
      </c>
      <c r="B232" s="345" t="s">
        <v>256</v>
      </c>
      <c r="C232" s="276">
        <v>2018</v>
      </c>
      <c r="D232" s="276" t="s">
        <v>241</v>
      </c>
      <c r="E232" s="469" t="s">
        <v>257</v>
      </c>
      <c r="F232" s="1013" t="s">
        <v>257</v>
      </c>
      <c r="G232" s="1014" t="s">
        <v>258</v>
      </c>
      <c r="H232" s="277">
        <v>950</v>
      </c>
      <c r="I232" s="551">
        <v>0</v>
      </c>
      <c r="J232" s="17">
        <v>0</v>
      </c>
      <c r="K232" s="450">
        <v>0</v>
      </c>
      <c r="L232" s="758">
        <v>0</v>
      </c>
      <c r="M232" s="249">
        <v>0</v>
      </c>
      <c r="N232" s="651">
        <f t="shared" si="13"/>
        <v>0</v>
      </c>
      <c r="O232" s="760">
        <v>0</v>
      </c>
      <c r="P232" s="279">
        <v>0</v>
      </c>
      <c r="Q232" s="538">
        <v>0</v>
      </c>
      <c r="R232" s="1363">
        <v>0</v>
      </c>
      <c r="S232" s="538">
        <v>0</v>
      </c>
      <c r="T232" s="348">
        <v>950</v>
      </c>
      <c r="U232" s="278">
        <v>0</v>
      </c>
      <c r="V232" s="287">
        <v>0</v>
      </c>
      <c r="W232" s="280" t="s">
        <v>784</v>
      </c>
      <c r="X232" s="276" t="s">
        <v>22</v>
      </c>
      <c r="Y232" s="344" t="s">
        <v>939</v>
      </c>
      <c r="Z232" s="375" t="s">
        <v>838</v>
      </c>
      <c r="AA232" s="344" t="s">
        <v>838</v>
      </c>
    </row>
    <row r="233" spans="1:27" ht="25.5" x14ac:dyDescent="0.25">
      <c r="A233" s="65" t="s">
        <v>1079</v>
      </c>
      <c r="B233" s="88" t="s">
        <v>1003</v>
      </c>
      <c r="C233" s="5">
        <v>2018</v>
      </c>
      <c r="D233" s="5" t="s">
        <v>241</v>
      </c>
      <c r="E233" s="69" t="s">
        <v>259</v>
      </c>
      <c r="F233" s="70" t="s">
        <v>259</v>
      </c>
      <c r="G233" s="943" t="s">
        <v>260</v>
      </c>
      <c r="H233" s="17">
        <v>2371</v>
      </c>
      <c r="I233" s="604">
        <v>0</v>
      </c>
      <c r="J233" s="17">
        <v>0</v>
      </c>
      <c r="K233" s="437">
        <v>0</v>
      </c>
      <c r="L233" s="758">
        <v>0</v>
      </c>
      <c r="M233" s="249">
        <v>0</v>
      </c>
      <c r="N233" s="651">
        <f t="shared" si="13"/>
        <v>0</v>
      </c>
      <c r="O233" s="188">
        <v>0</v>
      </c>
      <c r="P233" s="18">
        <v>0</v>
      </c>
      <c r="Q233" s="34">
        <v>1000</v>
      </c>
      <c r="R233" s="1363">
        <v>0</v>
      </c>
      <c r="S233" s="538">
        <v>0</v>
      </c>
      <c r="T233" s="33">
        <v>1371</v>
      </c>
      <c r="U233" s="42">
        <v>0</v>
      </c>
      <c r="V233" s="26">
        <v>0</v>
      </c>
      <c r="W233" s="55" t="s">
        <v>1257</v>
      </c>
      <c r="X233" s="5" t="s">
        <v>22</v>
      </c>
      <c r="Y233" s="107" t="s">
        <v>894</v>
      </c>
      <c r="Z233" s="267" t="s">
        <v>838</v>
      </c>
      <c r="AA233" s="107" t="s">
        <v>838</v>
      </c>
    </row>
    <row r="234" spans="1:27" ht="25.5" x14ac:dyDescent="0.25">
      <c r="A234" s="341" t="s">
        <v>1080</v>
      </c>
      <c r="B234" s="345" t="s">
        <v>261</v>
      </c>
      <c r="C234" s="276">
        <v>2018</v>
      </c>
      <c r="D234" s="276" t="s">
        <v>241</v>
      </c>
      <c r="E234" s="468" t="s">
        <v>1041</v>
      </c>
      <c r="F234" s="1269" t="s">
        <v>1041</v>
      </c>
      <c r="G234" s="1270" t="s">
        <v>262</v>
      </c>
      <c r="H234" s="342">
        <v>4200</v>
      </c>
      <c r="I234" s="642">
        <v>0</v>
      </c>
      <c r="J234" s="17">
        <v>0</v>
      </c>
      <c r="K234" s="450">
        <v>0</v>
      </c>
      <c r="L234" s="758">
        <v>0</v>
      </c>
      <c r="M234" s="249">
        <v>0</v>
      </c>
      <c r="N234" s="651">
        <f t="shared" si="13"/>
        <v>0</v>
      </c>
      <c r="O234" s="760">
        <v>0</v>
      </c>
      <c r="P234" s="279">
        <v>0</v>
      </c>
      <c r="Q234" s="616">
        <v>0</v>
      </c>
      <c r="R234" s="1363">
        <v>0</v>
      </c>
      <c r="S234" s="538">
        <v>0</v>
      </c>
      <c r="T234" s="543">
        <v>0</v>
      </c>
      <c r="U234" s="543">
        <v>4200</v>
      </c>
      <c r="V234" s="287">
        <v>0</v>
      </c>
      <c r="W234" s="280" t="s">
        <v>1004</v>
      </c>
      <c r="X234" s="276" t="s">
        <v>22</v>
      </c>
      <c r="Y234" s="344" t="s">
        <v>1001</v>
      </c>
      <c r="Z234" s="375" t="s">
        <v>838</v>
      </c>
      <c r="AA234" s="344" t="s">
        <v>838</v>
      </c>
    </row>
    <row r="235" spans="1:27" s="703" customFormat="1" ht="38.25" x14ac:dyDescent="0.25">
      <c r="A235" s="189" t="s">
        <v>1081</v>
      </c>
      <c r="B235" s="119" t="s">
        <v>263</v>
      </c>
      <c r="C235" s="72">
        <v>2018</v>
      </c>
      <c r="D235" s="72" t="s">
        <v>264</v>
      </c>
      <c r="E235" s="73" t="s">
        <v>265</v>
      </c>
      <c r="F235" s="81" t="s">
        <v>265</v>
      </c>
      <c r="G235" s="168" t="s">
        <v>266</v>
      </c>
      <c r="H235" s="22">
        <v>6062.57</v>
      </c>
      <c r="I235" s="607">
        <v>0</v>
      </c>
      <c r="J235" s="22">
        <v>262.57</v>
      </c>
      <c r="K235" s="455">
        <v>0</v>
      </c>
      <c r="L235" s="459">
        <v>262.57</v>
      </c>
      <c r="M235" s="539">
        <v>0</v>
      </c>
      <c r="N235" s="652">
        <f t="shared" si="13"/>
        <v>262.57</v>
      </c>
      <c r="O235" s="190">
        <v>0</v>
      </c>
      <c r="P235" s="23">
        <v>3100</v>
      </c>
      <c r="Q235" s="112">
        <v>2700</v>
      </c>
      <c r="R235" s="1362">
        <v>0</v>
      </c>
      <c r="S235" s="540">
        <v>0</v>
      </c>
      <c r="T235" s="113">
        <v>0</v>
      </c>
      <c r="U235" s="113">
        <v>0</v>
      </c>
      <c r="V235" s="20">
        <v>0</v>
      </c>
      <c r="W235" s="118" t="s">
        <v>1182</v>
      </c>
      <c r="X235" s="72" t="s">
        <v>877</v>
      </c>
      <c r="Y235" s="71" t="s">
        <v>894</v>
      </c>
      <c r="Z235" s="315" t="s">
        <v>839</v>
      </c>
      <c r="AA235" s="71" t="s">
        <v>838</v>
      </c>
    </row>
    <row r="236" spans="1:27" ht="38.25" x14ac:dyDescent="0.25">
      <c r="A236" s="341" t="s">
        <v>1082</v>
      </c>
      <c r="B236" s="345" t="s">
        <v>267</v>
      </c>
      <c r="C236" s="276">
        <v>2018</v>
      </c>
      <c r="D236" s="276" t="s">
        <v>264</v>
      </c>
      <c r="E236" s="468" t="s">
        <v>268</v>
      </c>
      <c r="F236" s="1269" t="s">
        <v>268</v>
      </c>
      <c r="G236" s="1271" t="s">
        <v>269</v>
      </c>
      <c r="H236" s="277">
        <v>4200</v>
      </c>
      <c r="I236" s="551">
        <v>120</v>
      </c>
      <c r="J236" s="17">
        <v>50</v>
      </c>
      <c r="K236" s="450">
        <v>0</v>
      </c>
      <c r="L236" s="758">
        <v>50</v>
      </c>
      <c r="M236" s="249">
        <v>0</v>
      </c>
      <c r="N236" s="651">
        <f t="shared" si="13"/>
        <v>50</v>
      </c>
      <c r="O236" s="760">
        <v>0</v>
      </c>
      <c r="P236" s="279">
        <v>0</v>
      </c>
      <c r="Q236" s="538">
        <v>0</v>
      </c>
      <c r="R236" s="1363">
        <v>0</v>
      </c>
      <c r="S236" s="538">
        <v>0</v>
      </c>
      <c r="T236" s="348">
        <v>0</v>
      </c>
      <c r="U236" s="346">
        <v>0</v>
      </c>
      <c r="V236" s="287">
        <v>4030</v>
      </c>
      <c r="W236" s="280" t="s">
        <v>931</v>
      </c>
      <c r="X236" s="276" t="s">
        <v>22</v>
      </c>
      <c r="Y236" s="344" t="s">
        <v>893</v>
      </c>
      <c r="Z236" s="375" t="s">
        <v>838</v>
      </c>
      <c r="AA236" s="344" t="s">
        <v>838</v>
      </c>
    </row>
    <row r="237" spans="1:27" s="710" customFormat="1" ht="25.5" x14ac:dyDescent="0.25">
      <c r="A237" s="637" t="s">
        <v>1083</v>
      </c>
      <c r="B237" s="360" t="s">
        <v>574</v>
      </c>
      <c r="C237" s="352">
        <v>2018</v>
      </c>
      <c r="D237" s="361" t="s">
        <v>803</v>
      </c>
      <c r="E237" s="361" t="s">
        <v>273</v>
      </c>
      <c r="F237" s="361" t="s">
        <v>273</v>
      </c>
      <c r="G237" s="1272" t="s">
        <v>274</v>
      </c>
      <c r="H237" s="362">
        <v>714.23400000000004</v>
      </c>
      <c r="I237" s="588">
        <v>0</v>
      </c>
      <c r="J237" s="22">
        <v>714.23400000000004</v>
      </c>
      <c r="K237" s="462">
        <v>0</v>
      </c>
      <c r="L237" s="460">
        <v>714.23400000000004</v>
      </c>
      <c r="M237" s="539">
        <v>0</v>
      </c>
      <c r="N237" s="652">
        <f t="shared" si="13"/>
        <v>714.23400000000004</v>
      </c>
      <c r="O237" s="358">
        <v>0</v>
      </c>
      <c r="P237" s="621">
        <v>0</v>
      </c>
      <c r="Q237" s="540">
        <v>0</v>
      </c>
      <c r="R237" s="1362">
        <v>0</v>
      </c>
      <c r="S237" s="540">
        <v>0</v>
      </c>
      <c r="T237" s="357">
        <v>0</v>
      </c>
      <c r="U237" s="357">
        <v>0</v>
      </c>
      <c r="V237" s="542">
        <v>0</v>
      </c>
      <c r="W237" s="363" t="s">
        <v>784</v>
      </c>
      <c r="X237" s="352" t="s">
        <v>877</v>
      </c>
      <c r="Y237" s="359" t="s">
        <v>658</v>
      </c>
      <c r="Z237" s="402" t="s">
        <v>784</v>
      </c>
      <c r="AA237" s="359" t="s">
        <v>784</v>
      </c>
    </row>
    <row r="238" spans="1:27" s="710" customFormat="1" ht="25.5" x14ac:dyDescent="0.25">
      <c r="A238" s="637" t="s">
        <v>1084</v>
      </c>
      <c r="B238" s="360" t="s">
        <v>575</v>
      </c>
      <c r="C238" s="352">
        <v>2018</v>
      </c>
      <c r="D238" s="361" t="s">
        <v>804</v>
      </c>
      <c r="E238" s="361" t="s">
        <v>273</v>
      </c>
      <c r="F238" s="361" t="s">
        <v>273</v>
      </c>
      <c r="G238" s="1272" t="s">
        <v>275</v>
      </c>
      <c r="H238" s="362">
        <v>654.97299999999996</v>
      </c>
      <c r="I238" s="588">
        <v>0</v>
      </c>
      <c r="J238" s="22">
        <v>654.97299999999996</v>
      </c>
      <c r="K238" s="462">
        <v>0</v>
      </c>
      <c r="L238" s="460">
        <v>654.97299999999996</v>
      </c>
      <c r="M238" s="539">
        <v>0</v>
      </c>
      <c r="N238" s="652">
        <f t="shared" si="13"/>
        <v>654.97299999999996</v>
      </c>
      <c r="O238" s="358">
        <v>0</v>
      </c>
      <c r="P238" s="621">
        <v>0</v>
      </c>
      <c r="Q238" s="540">
        <v>0</v>
      </c>
      <c r="R238" s="1362">
        <v>0</v>
      </c>
      <c r="S238" s="540">
        <v>0</v>
      </c>
      <c r="T238" s="357">
        <v>0</v>
      </c>
      <c r="U238" s="357">
        <v>0</v>
      </c>
      <c r="V238" s="542">
        <v>0</v>
      </c>
      <c r="W238" s="363" t="s">
        <v>784</v>
      </c>
      <c r="X238" s="352" t="s">
        <v>877</v>
      </c>
      <c r="Y238" s="359" t="s">
        <v>658</v>
      </c>
      <c r="Z238" s="402" t="s">
        <v>784</v>
      </c>
      <c r="AA238" s="359" t="s">
        <v>784</v>
      </c>
    </row>
    <row r="239" spans="1:27" ht="25.5" x14ac:dyDescent="0.25">
      <c r="A239" s="274" t="s">
        <v>1085</v>
      </c>
      <c r="B239" s="345" t="s">
        <v>576</v>
      </c>
      <c r="C239" s="276">
        <v>2018</v>
      </c>
      <c r="D239" s="276" t="s">
        <v>104</v>
      </c>
      <c r="E239" s="469" t="s">
        <v>273</v>
      </c>
      <c r="F239" s="469" t="s">
        <v>273</v>
      </c>
      <c r="G239" s="1271" t="s">
        <v>276</v>
      </c>
      <c r="H239" s="277">
        <f>7258+1124.87667-3200</f>
        <v>5182.8766699999996</v>
      </c>
      <c r="I239" s="581">
        <v>0</v>
      </c>
      <c r="J239" s="17">
        <v>1584.64517</v>
      </c>
      <c r="K239" s="437">
        <v>3598.2314999999999</v>
      </c>
      <c r="L239" s="59">
        <v>5182.8766699999996</v>
      </c>
      <c r="M239" s="249">
        <v>0</v>
      </c>
      <c r="N239" s="651">
        <f t="shared" si="13"/>
        <v>5182.8766699999996</v>
      </c>
      <c r="O239" s="760">
        <v>0</v>
      </c>
      <c r="P239" s="279">
        <v>0</v>
      </c>
      <c r="Q239" s="538">
        <v>0</v>
      </c>
      <c r="R239" s="1363">
        <v>0</v>
      </c>
      <c r="S239" s="538">
        <v>0</v>
      </c>
      <c r="T239" s="278">
        <v>0</v>
      </c>
      <c r="U239" s="278">
        <v>0</v>
      </c>
      <c r="V239" s="279">
        <v>0</v>
      </c>
      <c r="W239" s="280" t="s">
        <v>784</v>
      </c>
      <c r="X239" s="276" t="s">
        <v>48</v>
      </c>
      <c r="Y239" s="107" t="s">
        <v>571</v>
      </c>
      <c r="Z239" s="375" t="s">
        <v>839</v>
      </c>
      <c r="AA239" s="344" t="s">
        <v>839</v>
      </c>
    </row>
    <row r="240" spans="1:27" ht="25.5" x14ac:dyDescent="0.25">
      <c r="A240" s="65" t="s">
        <v>1086</v>
      </c>
      <c r="B240" s="88" t="s">
        <v>577</v>
      </c>
      <c r="C240" s="5">
        <v>2018</v>
      </c>
      <c r="D240" s="85" t="s">
        <v>104</v>
      </c>
      <c r="E240" s="66" t="s">
        <v>277</v>
      </c>
      <c r="F240" s="70" t="s">
        <v>245</v>
      </c>
      <c r="G240" s="165" t="s">
        <v>278</v>
      </c>
      <c r="H240" s="17">
        <v>1010</v>
      </c>
      <c r="I240" s="13">
        <v>0</v>
      </c>
      <c r="J240" s="17">
        <v>0</v>
      </c>
      <c r="K240" s="437">
        <v>1010</v>
      </c>
      <c r="L240" s="59">
        <v>1010</v>
      </c>
      <c r="M240" s="249">
        <v>0</v>
      </c>
      <c r="N240" s="651">
        <v>1010</v>
      </c>
      <c r="O240" s="188">
        <v>0</v>
      </c>
      <c r="P240" s="18">
        <v>0</v>
      </c>
      <c r="Q240" s="34">
        <v>0</v>
      </c>
      <c r="R240" s="1363">
        <v>0</v>
      </c>
      <c r="S240" s="538">
        <v>0</v>
      </c>
      <c r="T240" s="19">
        <v>0</v>
      </c>
      <c r="U240" s="19">
        <v>0</v>
      </c>
      <c r="V240" s="26">
        <v>0</v>
      </c>
      <c r="W240" s="55" t="s">
        <v>784</v>
      </c>
      <c r="X240" s="5" t="s">
        <v>22</v>
      </c>
      <c r="Y240" s="107" t="s">
        <v>312</v>
      </c>
      <c r="Z240" s="267" t="s">
        <v>838</v>
      </c>
      <c r="AA240" s="107" t="s">
        <v>838</v>
      </c>
    </row>
    <row r="241" spans="1:27" ht="30" x14ac:dyDescent="0.25">
      <c r="A241" s="274" t="s">
        <v>1087</v>
      </c>
      <c r="B241" s="345" t="s">
        <v>578</v>
      </c>
      <c r="C241" s="276">
        <v>2018</v>
      </c>
      <c r="D241" s="276" t="s">
        <v>104</v>
      </c>
      <c r="E241" s="469" t="s">
        <v>279</v>
      </c>
      <c r="F241" s="1016" t="s">
        <v>279</v>
      </c>
      <c r="G241" s="1271" t="s">
        <v>280</v>
      </c>
      <c r="H241" s="277">
        <v>6500</v>
      </c>
      <c r="I241" s="551">
        <v>0</v>
      </c>
      <c r="J241" s="17">
        <v>0</v>
      </c>
      <c r="K241" s="450">
        <v>0</v>
      </c>
      <c r="L241" s="758">
        <v>0</v>
      </c>
      <c r="M241" s="249">
        <v>0</v>
      </c>
      <c r="N241" s="651">
        <f t="shared" ref="N241:N304" si="14">L241+M241</f>
        <v>0</v>
      </c>
      <c r="O241" s="760">
        <v>0</v>
      </c>
      <c r="P241" s="279">
        <v>0</v>
      </c>
      <c r="Q241" s="538">
        <v>120</v>
      </c>
      <c r="R241" s="1363">
        <v>0</v>
      </c>
      <c r="S241" s="538">
        <v>0</v>
      </c>
      <c r="T241" s="348">
        <v>0</v>
      </c>
      <c r="U241" s="278">
        <v>6380</v>
      </c>
      <c r="V241" s="279">
        <v>0</v>
      </c>
      <c r="W241" s="349" t="s">
        <v>932</v>
      </c>
      <c r="X241" s="276" t="s">
        <v>16</v>
      </c>
      <c r="Y241" s="344" t="s">
        <v>755</v>
      </c>
      <c r="Z241" s="375" t="s">
        <v>838</v>
      </c>
      <c r="AA241" s="344" t="s">
        <v>838</v>
      </c>
    </row>
    <row r="242" spans="1:27" s="710" customFormat="1" ht="25.5" x14ac:dyDescent="0.25">
      <c r="A242" s="544" t="s">
        <v>1088</v>
      </c>
      <c r="B242" s="351" t="s">
        <v>579</v>
      </c>
      <c r="C242" s="352">
        <v>2018</v>
      </c>
      <c r="D242" s="352" t="s">
        <v>104</v>
      </c>
      <c r="E242" s="353" t="s">
        <v>281</v>
      </c>
      <c r="F242" s="1970" t="s">
        <v>281</v>
      </c>
      <c r="G242" s="1275" t="s">
        <v>282</v>
      </c>
      <c r="H242" s="356">
        <v>498.12700000000001</v>
      </c>
      <c r="I242" s="550">
        <v>345.9</v>
      </c>
      <c r="J242" s="22">
        <v>152.227</v>
      </c>
      <c r="K242" s="461">
        <v>0</v>
      </c>
      <c r="L242" s="459">
        <v>152.22700000000003</v>
      </c>
      <c r="M242" s="539">
        <v>0</v>
      </c>
      <c r="N242" s="652">
        <f t="shared" si="14"/>
        <v>152.22700000000003</v>
      </c>
      <c r="O242" s="358">
        <v>0</v>
      </c>
      <c r="P242" s="621">
        <v>0</v>
      </c>
      <c r="Q242" s="540">
        <v>0</v>
      </c>
      <c r="R242" s="1362">
        <v>0</v>
      </c>
      <c r="S242" s="540">
        <v>0</v>
      </c>
      <c r="T242" s="541">
        <v>0</v>
      </c>
      <c r="U242" s="357">
        <v>0</v>
      </c>
      <c r="V242" s="621">
        <v>0</v>
      </c>
      <c r="W242" s="363" t="s">
        <v>784</v>
      </c>
      <c r="X242" s="352" t="s">
        <v>877</v>
      </c>
      <c r="Y242" s="359" t="s">
        <v>775</v>
      </c>
      <c r="Z242" s="402" t="s">
        <v>839</v>
      </c>
      <c r="AA242" s="359" t="s">
        <v>839</v>
      </c>
    </row>
    <row r="243" spans="1:27" ht="25.5" x14ac:dyDescent="0.25">
      <c r="A243" s="341" t="s">
        <v>1089</v>
      </c>
      <c r="B243" s="345" t="s">
        <v>580</v>
      </c>
      <c r="C243" s="276">
        <v>2018</v>
      </c>
      <c r="D243" s="284" t="s">
        <v>104</v>
      </c>
      <c r="E243" s="468" t="s">
        <v>283</v>
      </c>
      <c r="F243" s="1273" t="s">
        <v>283</v>
      </c>
      <c r="G243" s="1271" t="s">
        <v>284</v>
      </c>
      <c r="H243" s="277">
        <v>963</v>
      </c>
      <c r="I243" s="551">
        <v>0</v>
      </c>
      <c r="J243" s="17">
        <v>0</v>
      </c>
      <c r="K243" s="450">
        <v>0</v>
      </c>
      <c r="L243" s="758">
        <v>0</v>
      </c>
      <c r="M243" s="249">
        <v>0</v>
      </c>
      <c r="N243" s="651">
        <f t="shared" si="14"/>
        <v>0</v>
      </c>
      <c r="O243" s="760">
        <v>0</v>
      </c>
      <c r="P243" s="279">
        <v>0</v>
      </c>
      <c r="Q243" s="538">
        <v>0</v>
      </c>
      <c r="R243" s="1363">
        <v>0</v>
      </c>
      <c r="S243" s="538">
        <v>0</v>
      </c>
      <c r="T243" s="348">
        <v>963</v>
      </c>
      <c r="U243" s="278">
        <v>0</v>
      </c>
      <c r="V243" s="287">
        <v>0</v>
      </c>
      <c r="W243" s="280" t="s">
        <v>784</v>
      </c>
      <c r="X243" s="276" t="s">
        <v>16</v>
      </c>
      <c r="Y243" s="107" t="s">
        <v>755</v>
      </c>
      <c r="Z243" s="375" t="s">
        <v>838</v>
      </c>
      <c r="AA243" s="344" t="s">
        <v>838</v>
      </c>
    </row>
    <row r="244" spans="1:27" ht="25.5" x14ac:dyDescent="0.25">
      <c r="A244" s="1241" t="s">
        <v>1090</v>
      </c>
      <c r="B244" s="1043" t="s">
        <v>581</v>
      </c>
      <c r="C244" s="657">
        <v>2018</v>
      </c>
      <c r="D244" s="688" t="s">
        <v>104</v>
      </c>
      <c r="E244" s="1841" t="s">
        <v>14</v>
      </c>
      <c r="F244" s="1867" t="s">
        <v>285</v>
      </c>
      <c r="G244" s="1047" t="s">
        <v>286</v>
      </c>
      <c r="H244" s="813">
        <v>14900</v>
      </c>
      <c r="I244" s="658">
        <v>0</v>
      </c>
      <c r="J244" s="813">
        <v>0</v>
      </c>
      <c r="K244" s="1050">
        <v>0</v>
      </c>
      <c r="L244" s="1827">
        <v>555.39</v>
      </c>
      <c r="M244" s="1052">
        <v>-555.39</v>
      </c>
      <c r="N244" s="1052">
        <f t="shared" si="14"/>
        <v>0</v>
      </c>
      <c r="O244" s="1865">
        <v>0</v>
      </c>
      <c r="P244" s="1244">
        <v>0</v>
      </c>
      <c r="Q244" s="1245">
        <v>900</v>
      </c>
      <c r="R244" s="1364">
        <v>0</v>
      </c>
      <c r="S244" s="1245">
        <v>0</v>
      </c>
      <c r="T244" s="1246">
        <v>7000</v>
      </c>
      <c r="U244" s="1310">
        <v>7000</v>
      </c>
      <c r="V244" s="1058">
        <v>0</v>
      </c>
      <c r="W244" s="689" t="s">
        <v>1624</v>
      </c>
      <c r="X244" s="1062" t="s">
        <v>16</v>
      </c>
      <c r="Y244" s="1062" t="s">
        <v>317</v>
      </c>
      <c r="Z244" s="1061" t="s">
        <v>838</v>
      </c>
      <c r="AA244" s="1062" t="s">
        <v>838</v>
      </c>
    </row>
    <row r="245" spans="1:27" ht="25.5" x14ac:dyDescent="0.25">
      <c r="A245" s="341" t="s">
        <v>1092</v>
      </c>
      <c r="B245" s="345" t="s">
        <v>582</v>
      </c>
      <c r="C245" s="276">
        <v>2018</v>
      </c>
      <c r="D245" s="284" t="s">
        <v>104</v>
      </c>
      <c r="E245" s="468" t="s">
        <v>285</v>
      </c>
      <c r="F245" s="468" t="s">
        <v>285</v>
      </c>
      <c r="G245" s="1271" t="s">
        <v>287</v>
      </c>
      <c r="H245" s="277">
        <v>2100</v>
      </c>
      <c r="I245" s="551">
        <v>0</v>
      </c>
      <c r="J245" s="17">
        <v>0</v>
      </c>
      <c r="K245" s="450">
        <v>0</v>
      </c>
      <c r="L245" s="758">
        <v>0</v>
      </c>
      <c r="M245" s="249">
        <v>0</v>
      </c>
      <c r="N245" s="651">
        <f t="shared" si="14"/>
        <v>0</v>
      </c>
      <c r="O245" s="760">
        <v>0</v>
      </c>
      <c r="P245" s="279">
        <v>0</v>
      </c>
      <c r="Q245" s="538">
        <v>120</v>
      </c>
      <c r="R245" s="1363">
        <v>0</v>
      </c>
      <c r="S245" s="538">
        <v>0</v>
      </c>
      <c r="T245" s="348">
        <v>1980</v>
      </c>
      <c r="U245" s="278">
        <v>0</v>
      </c>
      <c r="V245" s="287">
        <v>0</v>
      </c>
      <c r="W245" s="344" t="s">
        <v>1652</v>
      </c>
      <c r="X245" s="276" t="s">
        <v>16</v>
      </c>
      <c r="Y245" s="344" t="s">
        <v>731</v>
      </c>
      <c r="Z245" s="375" t="s">
        <v>838</v>
      </c>
      <c r="AA245" s="344" t="s">
        <v>838</v>
      </c>
    </row>
    <row r="246" spans="1:27" s="710" customFormat="1" ht="25.5" x14ac:dyDescent="0.25">
      <c r="A246" s="473" t="s">
        <v>1091</v>
      </c>
      <c r="B246" s="351" t="s">
        <v>583</v>
      </c>
      <c r="C246" s="352">
        <v>2018</v>
      </c>
      <c r="D246" s="474" t="s">
        <v>104</v>
      </c>
      <c r="E246" s="475" t="s">
        <v>288</v>
      </c>
      <c r="F246" s="1274" t="s">
        <v>288</v>
      </c>
      <c r="G246" s="1275" t="s">
        <v>289</v>
      </c>
      <c r="H246" s="356">
        <v>655.82</v>
      </c>
      <c r="I246" s="550">
        <v>0</v>
      </c>
      <c r="J246" s="22">
        <v>655.82</v>
      </c>
      <c r="K246" s="461">
        <v>0</v>
      </c>
      <c r="L246" s="761">
        <v>655.82</v>
      </c>
      <c r="M246" s="539">
        <v>0</v>
      </c>
      <c r="N246" s="652">
        <f t="shared" si="14"/>
        <v>655.82</v>
      </c>
      <c r="O246" s="358">
        <v>0</v>
      </c>
      <c r="P246" s="621">
        <v>0</v>
      </c>
      <c r="Q246" s="540">
        <v>0</v>
      </c>
      <c r="R246" s="1362">
        <v>0</v>
      </c>
      <c r="S246" s="540">
        <v>0</v>
      </c>
      <c r="T246" s="541">
        <v>0</v>
      </c>
      <c r="U246" s="357">
        <v>0</v>
      </c>
      <c r="V246" s="542">
        <v>0</v>
      </c>
      <c r="W246" s="738" t="s">
        <v>784</v>
      </c>
      <c r="X246" s="762" t="s">
        <v>877</v>
      </c>
      <c r="Y246" s="350" t="s">
        <v>756</v>
      </c>
      <c r="Z246" s="402" t="s">
        <v>839</v>
      </c>
      <c r="AA246" s="350" t="s">
        <v>839</v>
      </c>
    </row>
    <row r="247" spans="1:27" s="710" customFormat="1" ht="25.5" x14ac:dyDescent="0.25">
      <c r="A247" s="473" t="s">
        <v>1093</v>
      </c>
      <c r="B247" s="351" t="s">
        <v>584</v>
      </c>
      <c r="C247" s="352">
        <v>2018</v>
      </c>
      <c r="D247" s="474" t="s">
        <v>104</v>
      </c>
      <c r="E247" s="475" t="s">
        <v>290</v>
      </c>
      <c r="F247" s="1274" t="s">
        <v>290</v>
      </c>
      <c r="G247" s="1275" t="s">
        <v>291</v>
      </c>
      <c r="H247" s="356">
        <v>479.55200000000002</v>
      </c>
      <c r="I247" s="550">
        <v>0</v>
      </c>
      <c r="J247" s="22">
        <v>479.55200000000002</v>
      </c>
      <c r="K247" s="461">
        <v>0</v>
      </c>
      <c r="L247" s="459">
        <v>479.55200000000002</v>
      </c>
      <c r="M247" s="539">
        <v>0</v>
      </c>
      <c r="N247" s="652">
        <f t="shared" si="14"/>
        <v>479.55200000000002</v>
      </c>
      <c r="O247" s="358">
        <v>0</v>
      </c>
      <c r="P247" s="621">
        <v>0</v>
      </c>
      <c r="Q247" s="540">
        <v>0</v>
      </c>
      <c r="R247" s="1362">
        <v>0</v>
      </c>
      <c r="S247" s="540">
        <v>0</v>
      </c>
      <c r="T247" s="541">
        <v>0</v>
      </c>
      <c r="U247" s="357">
        <v>0</v>
      </c>
      <c r="V247" s="357">
        <v>0</v>
      </c>
      <c r="W247" s="363" t="s">
        <v>784</v>
      </c>
      <c r="X247" s="352" t="s">
        <v>877</v>
      </c>
      <c r="Y247" s="359" t="s">
        <v>784</v>
      </c>
      <c r="Z247" s="402" t="s">
        <v>784</v>
      </c>
      <c r="AA247" s="359" t="s">
        <v>784</v>
      </c>
    </row>
    <row r="248" spans="1:27" s="710" customFormat="1" ht="25.5" x14ac:dyDescent="0.25">
      <c r="A248" s="473" t="s">
        <v>1094</v>
      </c>
      <c r="B248" s="351" t="s">
        <v>585</v>
      </c>
      <c r="C248" s="352">
        <v>2018</v>
      </c>
      <c r="D248" s="474" t="s">
        <v>104</v>
      </c>
      <c r="E248" s="475" t="s">
        <v>292</v>
      </c>
      <c r="F248" s="1274" t="s">
        <v>292</v>
      </c>
      <c r="G248" s="1275" t="s">
        <v>291</v>
      </c>
      <c r="H248" s="356">
        <v>398.93700000000001</v>
      </c>
      <c r="I248" s="550">
        <v>0</v>
      </c>
      <c r="J248" s="22">
        <v>398.93700000000001</v>
      </c>
      <c r="K248" s="461">
        <v>0</v>
      </c>
      <c r="L248" s="459">
        <v>398.93700000000001</v>
      </c>
      <c r="M248" s="539">
        <v>0</v>
      </c>
      <c r="N248" s="652">
        <f t="shared" si="14"/>
        <v>398.93700000000001</v>
      </c>
      <c r="O248" s="358">
        <v>0</v>
      </c>
      <c r="P248" s="621">
        <v>0</v>
      </c>
      <c r="Q248" s="540">
        <v>0</v>
      </c>
      <c r="R248" s="1362">
        <v>0</v>
      </c>
      <c r="S248" s="540">
        <v>0</v>
      </c>
      <c r="T248" s="541">
        <v>0</v>
      </c>
      <c r="U248" s="357">
        <v>0</v>
      </c>
      <c r="V248" s="357">
        <v>0</v>
      </c>
      <c r="W248" s="363" t="s">
        <v>784</v>
      </c>
      <c r="X248" s="352" t="s">
        <v>877</v>
      </c>
      <c r="Y248" s="359" t="s">
        <v>784</v>
      </c>
      <c r="Z248" s="402" t="s">
        <v>784</v>
      </c>
      <c r="AA248" s="359" t="s">
        <v>784</v>
      </c>
    </row>
    <row r="249" spans="1:27" s="703" customFormat="1" ht="30" x14ac:dyDescent="0.25">
      <c r="A249" s="1212" t="s">
        <v>1095</v>
      </c>
      <c r="B249" s="1213" t="s">
        <v>586</v>
      </c>
      <c r="C249" s="1214">
        <v>2018</v>
      </c>
      <c r="D249" s="1276" t="s">
        <v>104</v>
      </c>
      <c r="E249" s="1277" t="s">
        <v>1043</v>
      </c>
      <c r="F249" s="1277" t="s">
        <v>1043</v>
      </c>
      <c r="G249" s="1278" t="s">
        <v>293</v>
      </c>
      <c r="H249" s="1279">
        <v>6040.74755</v>
      </c>
      <c r="I249" s="1808">
        <v>0</v>
      </c>
      <c r="J249" s="700">
        <v>3040.74755</v>
      </c>
      <c r="K249" s="1219">
        <v>0</v>
      </c>
      <c r="L249" s="1220">
        <v>3250</v>
      </c>
      <c r="M249" s="1021">
        <f>-209.2524-0.00005</f>
        <v>-209.25244999999998</v>
      </c>
      <c r="N249" s="1280">
        <f t="shared" si="14"/>
        <v>3040.74755</v>
      </c>
      <c r="O249" s="1250">
        <v>0</v>
      </c>
      <c r="P249" s="1281">
        <v>3000</v>
      </c>
      <c r="Q249" s="1251">
        <v>0</v>
      </c>
      <c r="R249" s="1365">
        <v>0</v>
      </c>
      <c r="S249" s="1251">
        <v>0</v>
      </c>
      <c r="T249" s="1222">
        <v>0</v>
      </c>
      <c r="U249" s="1222">
        <v>0</v>
      </c>
      <c r="V249" s="1222">
        <v>0</v>
      </c>
      <c r="W249" s="1941" t="s">
        <v>1610</v>
      </c>
      <c r="X249" s="699" t="s">
        <v>877</v>
      </c>
      <c r="Y249" s="1225" t="s">
        <v>659</v>
      </c>
      <c r="Z249" s="1226" t="s">
        <v>839</v>
      </c>
      <c r="AA249" s="1225" t="s">
        <v>839</v>
      </c>
    </row>
    <row r="250" spans="1:27" ht="29.25" customHeight="1" x14ac:dyDescent="0.25">
      <c r="A250" s="473" t="s">
        <v>1096</v>
      </c>
      <c r="B250" s="1282" t="s">
        <v>1005</v>
      </c>
      <c r="C250" s="474">
        <v>2018</v>
      </c>
      <c r="D250" s="352" t="s">
        <v>895</v>
      </c>
      <c r="E250" s="353" t="s">
        <v>14</v>
      </c>
      <c r="F250" s="1239" t="s">
        <v>1044</v>
      </c>
      <c r="G250" s="1275" t="s">
        <v>294</v>
      </c>
      <c r="H250" s="356">
        <v>800</v>
      </c>
      <c r="I250" s="550">
        <v>0</v>
      </c>
      <c r="J250" s="22">
        <v>800</v>
      </c>
      <c r="K250" s="461">
        <v>0</v>
      </c>
      <c r="L250" s="459">
        <v>800</v>
      </c>
      <c r="M250" s="539">
        <v>0</v>
      </c>
      <c r="N250" s="652">
        <f t="shared" si="14"/>
        <v>800</v>
      </c>
      <c r="O250" s="358">
        <v>0</v>
      </c>
      <c r="P250" s="621">
        <v>0</v>
      </c>
      <c r="Q250" s="540">
        <v>0</v>
      </c>
      <c r="R250" s="1362">
        <v>0</v>
      </c>
      <c r="S250" s="540">
        <v>0</v>
      </c>
      <c r="T250" s="541">
        <v>0</v>
      </c>
      <c r="U250" s="357">
        <v>0</v>
      </c>
      <c r="V250" s="357">
        <v>0</v>
      </c>
      <c r="W250" s="1978" t="s">
        <v>784</v>
      </c>
      <c r="X250" s="570" t="s">
        <v>877</v>
      </c>
      <c r="Y250" s="359" t="s">
        <v>312</v>
      </c>
      <c r="Z250" s="402" t="s">
        <v>838</v>
      </c>
      <c r="AA250" s="359" t="s">
        <v>838</v>
      </c>
    </row>
    <row r="251" spans="1:27" ht="26.25" thickBot="1" x14ac:dyDescent="0.3">
      <c r="A251" s="1985" t="s">
        <v>1097</v>
      </c>
      <c r="B251" s="1986" t="s">
        <v>1006</v>
      </c>
      <c r="C251" s="1576">
        <v>2018</v>
      </c>
      <c r="D251" s="1576" t="s">
        <v>895</v>
      </c>
      <c r="E251" s="1576" t="s">
        <v>14</v>
      </c>
      <c r="F251" s="1987" t="s">
        <v>296</v>
      </c>
      <c r="G251" s="1988" t="s">
        <v>297</v>
      </c>
      <c r="H251" s="1989">
        <v>3500</v>
      </c>
      <c r="I251" s="1990">
        <v>0</v>
      </c>
      <c r="J251" s="1810">
        <v>0</v>
      </c>
      <c r="K251" s="1991">
        <v>0</v>
      </c>
      <c r="L251" s="1992">
        <v>0</v>
      </c>
      <c r="M251" s="1659">
        <v>0</v>
      </c>
      <c r="N251" s="1659">
        <v>0</v>
      </c>
      <c r="O251" s="1993">
        <v>0</v>
      </c>
      <c r="P251" s="1994">
        <v>0</v>
      </c>
      <c r="Q251" s="1995">
        <v>0</v>
      </c>
      <c r="R251" s="1996">
        <v>0</v>
      </c>
      <c r="S251" s="1995">
        <v>0</v>
      </c>
      <c r="T251" s="1991">
        <v>3500</v>
      </c>
      <c r="U251" s="1991">
        <v>0</v>
      </c>
      <c r="V251" s="1991">
        <v>0</v>
      </c>
      <c r="W251" s="1987" t="s">
        <v>1667</v>
      </c>
      <c r="X251" s="1576" t="s">
        <v>22</v>
      </c>
      <c r="Y251" s="1644" t="s">
        <v>317</v>
      </c>
      <c r="Z251" s="1663" t="s">
        <v>838</v>
      </c>
      <c r="AA251" s="1644" t="s">
        <v>838</v>
      </c>
    </row>
    <row r="252" spans="1:27" ht="38.25" x14ac:dyDescent="0.25">
      <c r="A252" s="289" t="s">
        <v>1098</v>
      </c>
      <c r="B252" s="365" t="s">
        <v>802</v>
      </c>
      <c r="C252" s="290">
        <v>2019</v>
      </c>
      <c r="D252" s="276" t="s">
        <v>811</v>
      </c>
      <c r="E252" s="290" t="s">
        <v>587</v>
      </c>
      <c r="F252" s="290" t="s">
        <v>587</v>
      </c>
      <c r="G252" s="1283" t="s">
        <v>588</v>
      </c>
      <c r="H252" s="366">
        <v>3000</v>
      </c>
      <c r="I252" s="589">
        <v>0</v>
      </c>
      <c r="J252" s="1">
        <v>0</v>
      </c>
      <c r="K252" s="449">
        <v>0</v>
      </c>
      <c r="L252" s="444">
        <v>0</v>
      </c>
      <c r="M252" s="259">
        <v>0</v>
      </c>
      <c r="N252" s="248">
        <f t="shared" si="14"/>
        <v>0</v>
      </c>
      <c r="O252" s="600">
        <v>0</v>
      </c>
      <c r="P252" s="291">
        <v>0</v>
      </c>
      <c r="Q252" s="617">
        <v>2550</v>
      </c>
      <c r="R252" s="1367">
        <v>0</v>
      </c>
      <c r="S252" s="617">
        <v>0</v>
      </c>
      <c r="T252" s="367">
        <v>0</v>
      </c>
      <c r="U252" s="367">
        <v>450</v>
      </c>
      <c r="V252" s="425">
        <v>0</v>
      </c>
      <c r="W252" s="276" t="s">
        <v>933</v>
      </c>
      <c r="X252" s="290" t="s">
        <v>22</v>
      </c>
      <c r="Y252" s="344" t="s">
        <v>893</v>
      </c>
      <c r="Z252" s="376" t="s">
        <v>838</v>
      </c>
      <c r="AA252" s="343" t="s">
        <v>838</v>
      </c>
    </row>
    <row r="253" spans="1:27" ht="38.25" x14ac:dyDescent="0.25">
      <c r="A253" s="274" t="s">
        <v>1099</v>
      </c>
      <c r="B253" s="345" t="s">
        <v>802</v>
      </c>
      <c r="C253" s="276">
        <v>2019</v>
      </c>
      <c r="D253" s="276" t="s">
        <v>811</v>
      </c>
      <c r="E253" s="276" t="s">
        <v>230</v>
      </c>
      <c r="F253" s="276" t="s">
        <v>230</v>
      </c>
      <c r="G253" s="1284" t="s">
        <v>589</v>
      </c>
      <c r="H253" s="368">
        <v>400</v>
      </c>
      <c r="I253" s="551">
        <v>0</v>
      </c>
      <c r="J253" s="17">
        <v>0</v>
      </c>
      <c r="K253" s="450">
        <v>0</v>
      </c>
      <c r="L253" s="59">
        <v>0</v>
      </c>
      <c r="M253" s="249">
        <v>0</v>
      </c>
      <c r="N253" s="250">
        <f t="shared" si="14"/>
        <v>0</v>
      </c>
      <c r="O253" s="598">
        <v>0</v>
      </c>
      <c r="P253" s="278">
        <v>0</v>
      </c>
      <c r="Q253" s="538">
        <v>0</v>
      </c>
      <c r="R253" s="1363">
        <v>0</v>
      </c>
      <c r="S253" s="538">
        <v>0</v>
      </c>
      <c r="T253" s="369">
        <v>0</v>
      </c>
      <c r="U253" s="369">
        <v>0</v>
      </c>
      <c r="V253" s="369">
        <v>400</v>
      </c>
      <c r="W253" s="276" t="s">
        <v>784</v>
      </c>
      <c r="X253" s="276" t="s">
        <v>22</v>
      </c>
      <c r="Y253" s="344" t="s">
        <v>893</v>
      </c>
      <c r="Z253" s="375" t="s">
        <v>838</v>
      </c>
      <c r="AA253" s="344" t="s">
        <v>838</v>
      </c>
    </row>
    <row r="254" spans="1:27" ht="38.25" x14ac:dyDescent="0.25">
      <c r="A254" s="274" t="s">
        <v>1100</v>
      </c>
      <c r="B254" s="345" t="s">
        <v>802</v>
      </c>
      <c r="C254" s="276">
        <v>2019</v>
      </c>
      <c r="D254" s="276" t="s">
        <v>811</v>
      </c>
      <c r="E254" s="276" t="s">
        <v>230</v>
      </c>
      <c r="F254" s="276" t="s">
        <v>230</v>
      </c>
      <c r="G254" s="1017" t="s">
        <v>590</v>
      </c>
      <c r="H254" s="368">
        <v>6500</v>
      </c>
      <c r="I254" s="551">
        <v>0</v>
      </c>
      <c r="J254" s="17">
        <v>0</v>
      </c>
      <c r="K254" s="450">
        <v>0</v>
      </c>
      <c r="L254" s="59">
        <v>0</v>
      </c>
      <c r="M254" s="249">
        <v>0</v>
      </c>
      <c r="N254" s="250">
        <f t="shared" si="14"/>
        <v>0</v>
      </c>
      <c r="O254" s="598">
        <v>0</v>
      </c>
      <c r="P254" s="278">
        <v>0</v>
      </c>
      <c r="Q254" s="538">
        <v>0</v>
      </c>
      <c r="R254" s="1363">
        <v>0</v>
      </c>
      <c r="S254" s="538">
        <v>0</v>
      </c>
      <c r="T254" s="369">
        <v>0</v>
      </c>
      <c r="U254" s="369">
        <v>0</v>
      </c>
      <c r="V254" s="369">
        <v>6500</v>
      </c>
      <c r="W254" s="276" t="s">
        <v>784</v>
      </c>
      <c r="X254" s="276" t="s">
        <v>22</v>
      </c>
      <c r="Y254" s="344" t="s">
        <v>893</v>
      </c>
      <c r="Z254" s="375" t="s">
        <v>838</v>
      </c>
      <c r="AA254" s="344" t="s">
        <v>838</v>
      </c>
    </row>
    <row r="255" spans="1:27" ht="30" x14ac:dyDescent="0.25">
      <c r="A255" s="274" t="s">
        <v>1101</v>
      </c>
      <c r="B255" s="345" t="s">
        <v>1481</v>
      </c>
      <c r="C255" s="276">
        <v>2019</v>
      </c>
      <c r="D255" s="276" t="s">
        <v>811</v>
      </c>
      <c r="E255" s="276" t="s">
        <v>295</v>
      </c>
      <c r="F255" s="276" t="s">
        <v>295</v>
      </c>
      <c r="G255" s="1017" t="s">
        <v>591</v>
      </c>
      <c r="H255" s="370">
        <v>5850</v>
      </c>
      <c r="I255" s="551">
        <v>0</v>
      </c>
      <c r="J255" s="17">
        <v>3163.5722599999999</v>
      </c>
      <c r="K255" s="437">
        <v>2686.4277400000001</v>
      </c>
      <c r="L255" s="59">
        <v>5850</v>
      </c>
      <c r="M255" s="249">
        <v>0</v>
      </c>
      <c r="N255" s="250">
        <f t="shared" si="14"/>
        <v>5850</v>
      </c>
      <c r="O255" s="598">
        <v>0</v>
      </c>
      <c r="P255" s="278">
        <v>0</v>
      </c>
      <c r="Q255" s="538">
        <v>0</v>
      </c>
      <c r="R255" s="1363">
        <v>0</v>
      </c>
      <c r="S255" s="538">
        <v>0</v>
      </c>
      <c r="T255" s="369">
        <v>0</v>
      </c>
      <c r="U255" s="369">
        <v>0</v>
      </c>
      <c r="V255" s="369">
        <v>0</v>
      </c>
      <c r="W255" s="276" t="s">
        <v>784</v>
      </c>
      <c r="X255" s="276" t="s">
        <v>48</v>
      </c>
      <c r="Y255" s="344" t="s">
        <v>312</v>
      </c>
      <c r="Z255" s="375" t="s">
        <v>839</v>
      </c>
      <c r="AA255" s="344" t="s">
        <v>838</v>
      </c>
    </row>
    <row r="256" spans="1:27" ht="38.25" x14ac:dyDescent="0.25">
      <c r="A256" s="274" t="s">
        <v>1102</v>
      </c>
      <c r="B256" s="345" t="s">
        <v>802</v>
      </c>
      <c r="C256" s="276">
        <v>2019</v>
      </c>
      <c r="D256" s="276" t="s">
        <v>811</v>
      </c>
      <c r="E256" s="276" t="s">
        <v>295</v>
      </c>
      <c r="F256" s="276" t="s">
        <v>295</v>
      </c>
      <c r="G256" s="1017" t="s">
        <v>592</v>
      </c>
      <c r="H256" s="370">
        <v>356</v>
      </c>
      <c r="I256" s="551">
        <v>0</v>
      </c>
      <c r="J256" s="17">
        <v>0</v>
      </c>
      <c r="K256" s="450">
        <v>0</v>
      </c>
      <c r="L256" s="59">
        <v>0</v>
      </c>
      <c r="M256" s="249">
        <v>0</v>
      </c>
      <c r="N256" s="250">
        <f t="shared" si="14"/>
        <v>0</v>
      </c>
      <c r="O256" s="598">
        <v>0</v>
      </c>
      <c r="P256" s="278">
        <v>0</v>
      </c>
      <c r="Q256" s="538">
        <v>0</v>
      </c>
      <c r="R256" s="1363">
        <v>0</v>
      </c>
      <c r="S256" s="538">
        <v>0</v>
      </c>
      <c r="T256" s="369">
        <v>0</v>
      </c>
      <c r="U256" s="369">
        <v>0</v>
      </c>
      <c r="V256" s="369">
        <v>356</v>
      </c>
      <c r="W256" s="276" t="s">
        <v>784</v>
      </c>
      <c r="X256" s="276" t="s">
        <v>22</v>
      </c>
      <c r="Y256" s="344" t="s">
        <v>893</v>
      </c>
      <c r="Z256" s="375" t="s">
        <v>838</v>
      </c>
      <c r="AA256" s="344" t="s">
        <v>838</v>
      </c>
    </row>
    <row r="257" spans="1:27" ht="38.25" x14ac:dyDescent="0.25">
      <c r="A257" s="274" t="s">
        <v>1103</v>
      </c>
      <c r="B257" s="345" t="s">
        <v>802</v>
      </c>
      <c r="C257" s="276">
        <v>2019</v>
      </c>
      <c r="D257" s="276" t="s">
        <v>811</v>
      </c>
      <c r="E257" s="276" t="s">
        <v>295</v>
      </c>
      <c r="F257" s="276" t="s">
        <v>295</v>
      </c>
      <c r="G257" s="1017" t="s">
        <v>593</v>
      </c>
      <c r="H257" s="370">
        <v>410</v>
      </c>
      <c r="I257" s="551">
        <v>0</v>
      </c>
      <c r="J257" s="17">
        <v>0</v>
      </c>
      <c r="K257" s="450">
        <v>0</v>
      </c>
      <c r="L257" s="59">
        <v>0</v>
      </c>
      <c r="M257" s="249">
        <v>0</v>
      </c>
      <c r="N257" s="250">
        <f t="shared" si="14"/>
        <v>0</v>
      </c>
      <c r="O257" s="598">
        <v>0</v>
      </c>
      <c r="P257" s="278">
        <v>0</v>
      </c>
      <c r="Q257" s="538">
        <v>0</v>
      </c>
      <c r="R257" s="1363">
        <v>0</v>
      </c>
      <c r="S257" s="538">
        <v>0</v>
      </c>
      <c r="T257" s="369">
        <v>0</v>
      </c>
      <c r="U257" s="369">
        <v>0</v>
      </c>
      <c r="V257" s="369">
        <v>410</v>
      </c>
      <c r="W257" s="276" t="s">
        <v>784</v>
      </c>
      <c r="X257" s="276" t="s">
        <v>22</v>
      </c>
      <c r="Y257" s="344" t="s">
        <v>893</v>
      </c>
      <c r="Z257" s="375" t="s">
        <v>838</v>
      </c>
      <c r="AA257" s="344" t="s">
        <v>838</v>
      </c>
    </row>
    <row r="258" spans="1:27" ht="25.5" x14ac:dyDescent="0.25">
      <c r="A258" s="274" t="s">
        <v>1104</v>
      </c>
      <c r="B258" s="345" t="s">
        <v>1007</v>
      </c>
      <c r="C258" s="276">
        <v>2019</v>
      </c>
      <c r="D258" s="276" t="s">
        <v>811</v>
      </c>
      <c r="E258" s="276" t="s">
        <v>295</v>
      </c>
      <c r="F258" s="276" t="s">
        <v>295</v>
      </c>
      <c r="G258" s="1017" t="s">
        <v>800</v>
      </c>
      <c r="H258" s="370">
        <v>4800</v>
      </c>
      <c r="I258" s="551">
        <v>0</v>
      </c>
      <c r="J258" s="17">
        <v>199.65</v>
      </c>
      <c r="K258" s="437">
        <v>2894.35</v>
      </c>
      <c r="L258" s="59">
        <v>3094</v>
      </c>
      <c r="M258" s="249">
        <v>0</v>
      </c>
      <c r="N258" s="250">
        <f t="shared" si="14"/>
        <v>3094</v>
      </c>
      <c r="O258" s="598">
        <v>0</v>
      </c>
      <c r="P258" s="278">
        <v>0</v>
      </c>
      <c r="Q258" s="538">
        <v>0</v>
      </c>
      <c r="R258" s="1363">
        <v>0</v>
      </c>
      <c r="S258" s="538">
        <v>0</v>
      </c>
      <c r="T258" s="369">
        <v>1706</v>
      </c>
      <c r="U258" s="369">
        <v>0</v>
      </c>
      <c r="V258" s="369">
        <v>0</v>
      </c>
      <c r="W258" s="276" t="s">
        <v>784</v>
      </c>
      <c r="X258" s="5" t="s">
        <v>48</v>
      </c>
      <c r="Y258" s="107" t="s">
        <v>939</v>
      </c>
      <c r="Z258" s="267" t="s">
        <v>839</v>
      </c>
      <c r="AA258" s="344" t="s">
        <v>839</v>
      </c>
    </row>
    <row r="259" spans="1:27" ht="25.5" x14ac:dyDescent="0.25">
      <c r="A259" s="274" t="s">
        <v>1105</v>
      </c>
      <c r="B259" s="345" t="s">
        <v>1482</v>
      </c>
      <c r="C259" s="276">
        <v>2019</v>
      </c>
      <c r="D259" s="276" t="s">
        <v>811</v>
      </c>
      <c r="E259" s="276" t="s">
        <v>295</v>
      </c>
      <c r="F259" s="276" t="s">
        <v>295</v>
      </c>
      <c r="G259" s="1017" t="s">
        <v>594</v>
      </c>
      <c r="H259" s="370">
        <v>5300</v>
      </c>
      <c r="I259" s="551">
        <v>0</v>
      </c>
      <c r="J259" s="17">
        <v>3959.05366</v>
      </c>
      <c r="K259" s="437">
        <v>1340.94634</v>
      </c>
      <c r="L259" s="59">
        <v>5300</v>
      </c>
      <c r="M259" s="249">
        <v>0</v>
      </c>
      <c r="N259" s="250">
        <f t="shared" si="14"/>
        <v>5300</v>
      </c>
      <c r="O259" s="598">
        <v>0</v>
      </c>
      <c r="P259" s="278">
        <v>0</v>
      </c>
      <c r="Q259" s="538">
        <v>0</v>
      </c>
      <c r="R259" s="1363">
        <v>0</v>
      </c>
      <c r="S259" s="538">
        <v>0</v>
      </c>
      <c r="T259" s="369">
        <v>0</v>
      </c>
      <c r="U259" s="369">
        <v>0</v>
      </c>
      <c r="V259" s="369">
        <v>0</v>
      </c>
      <c r="W259" s="276" t="s">
        <v>784</v>
      </c>
      <c r="X259" s="276" t="s">
        <v>48</v>
      </c>
      <c r="Y259" s="344" t="s">
        <v>894</v>
      </c>
      <c r="Z259" s="375" t="s">
        <v>839</v>
      </c>
      <c r="AA259" s="344" t="s">
        <v>839</v>
      </c>
    </row>
    <row r="260" spans="1:27" ht="30" x14ac:dyDescent="0.25">
      <c r="A260" s="68" t="s">
        <v>1106</v>
      </c>
      <c r="B260" s="88" t="s">
        <v>1155</v>
      </c>
      <c r="C260" s="5">
        <v>2019</v>
      </c>
      <c r="D260" s="5" t="s">
        <v>811</v>
      </c>
      <c r="E260" s="5" t="s">
        <v>295</v>
      </c>
      <c r="F260" s="5" t="s">
        <v>295</v>
      </c>
      <c r="G260" s="834" t="s">
        <v>595</v>
      </c>
      <c r="H260" s="746">
        <f>2549+686.1953</f>
        <v>3235.1952999999999</v>
      </c>
      <c r="I260" s="604">
        <v>0</v>
      </c>
      <c r="J260" s="17">
        <v>2785.5355599999998</v>
      </c>
      <c r="K260" s="437">
        <f>449.46444+0.1953</f>
        <v>449.65974</v>
      </c>
      <c r="L260" s="59">
        <v>3235.1952999999999</v>
      </c>
      <c r="M260" s="249">
        <v>0</v>
      </c>
      <c r="N260" s="250">
        <f t="shared" si="14"/>
        <v>3235.1952999999999</v>
      </c>
      <c r="O260" s="598">
        <v>0</v>
      </c>
      <c r="P260" s="278">
        <v>0</v>
      </c>
      <c r="Q260" s="538">
        <v>0</v>
      </c>
      <c r="R260" s="1363">
        <v>0</v>
      </c>
      <c r="S260" s="538">
        <v>0</v>
      </c>
      <c r="T260" s="369">
        <v>0</v>
      </c>
      <c r="U260" s="369">
        <v>0</v>
      </c>
      <c r="V260" s="406">
        <v>0</v>
      </c>
      <c r="W260" s="55" t="s">
        <v>784</v>
      </c>
      <c r="X260" s="5" t="s">
        <v>48</v>
      </c>
      <c r="Y260" s="107" t="s">
        <v>312</v>
      </c>
      <c r="Z260" s="267" t="s">
        <v>839</v>
      </c>
      <c r="AA260" s="107" t="s">
        <v>839</v>
      </c>
    </row>
    <row r="261" spans="1:27" ht="38.25" x14ac:dyDescent="0.25">
      <c r="A261" s="274" t="s">
        <v>1107</v>
      </c>
      <c r="B261" s="345" t="s">
        <v>802</v>
      </c>
      <c r="C261" s="276">
        <v>2019</v>
      </c>
      <c r="D261" s="276" t="s">
        <v>811</v>
      </c>
      <c r="E261" s="276" t="s">
        <v>566</v>
      </c>
      <c r="F261" s="276" t="s">
        <v>566</v>
      </c>
      <c r="G261" s="1017" t="s">
        <v>596</v>
      </c>
      <c r="H261" s="370">
        <v>370</v>
      </c>
      <c r="I261" s="551">
        <v>0</v>
      </c>
      <c r="J261" s="17">
        <v>0</v>
      </c>
      <c r="K261" s="450">
        <v>0</v>
      </c>
      <c r="L261" s="59">
        <v>0</v>
      </c>
      <c r="M261" s="249">
        <v>0</v>
      </c>
      <c r="N261" s="250">
        <f t="shared" si="14"/>
        <v>0</v>
      </c>
      <c r="O261" s="598">
        <v>0</v>
      </c>
      <c r="P261" s="278">
        <v>0</v>
      </c>
      <c r="Q261" s="538">
        <v>150</v>
      </c>
      <c r="R261" s="1363">
        <v>0</v>
      </c>
      <c r="S261" s="538">
        <v>0</v>
      </c>
      <c r="T261" s="369">
        <v>0</v>
      </c>
      <c r="U261" s="369">
        <v>220</v>
      </c>
      <c r="V261" s="369">
        <v>0</v>
      </c>
      <c r="W261" s="276" t="s">
        <v>926</v>
      </c>
      <c r="X261" s="276" t="s">
        <v>22</v>
      </c>
      <c r="Y261" s="344" t="s">
        <v>893</v>
      </c>
      <c r="Z261" s="375" t="s">
        <v>838</v>
      </c>
      <c r="AA261" s="344" t="s">
        <v>838</v>
      </c>
    </row>
    <row r="262" spans="1:27" ht="25.5" x14ac:dyDescent="0.25">
      <c r="A262" s="1306" t="s">
        <v>1108</v>
      </c>
      <c r="B262" s="1043" t="s">
        <v>802</v>
      </c>
      <c r="C262" s="657">
        <v>2019</v>
      </c>
      <c r="D262" s="657" t="s">
        <v>811</v>
      </c>
      <c r="E262" s="657" t="s">
        <v>566</v>
      </c>
      <c r="F262" s="657" t="s">
        <v>566</v>
      </c>
      <c r="G262" s="1666" t="s">
        <v>597</v>
      </c>
      <c r="H262" s="1868">
        <v>800</v>
      </c>
      <c r="I262" s="658">
        <v>0</v>
      </c>
      <c r="J262" s="813">
        <v>0</v>
      </c>
      <c r="K262" s="1050">
        <v>800</v>
      </c>
      <c r="L262" s="1051">
        <v>0</v>
      </c>
      <c r="M262" s="1052">
        <v>800</v>
      </c>
      <c r="N262" s="1053">
        <f t="shared" si="14"/>
        <v>800</v>
      </c>
      <c r="O262" s="1311">
        <v>0</v>
      </c>
      <c r="P262" s="1310">
        <v>0</v>
      </c>
      <c r="Q262" s="1245">
        <v>0</v>
      </c>
      <c r="R262" s="1364">
        <v>0</v>
      </c>
      <c r="S262" s="1245">
        <v>0</v>
      </c>
      <c r="T262" s="1760">
        <v>0</v>
      </c>
      <c r="U262" s="1760">
        <v>0</v>
      </c>
      <c r="V262" s="1760">
        <v>0</v>
      </c>
      <c r="W262" s="657" t="s">
        <v>1625</v>
      </c>
      <c r="X262" s="657" t="s">
        <v>22</v>
      </c>
      <c r="Y262" s="1062" t="s">
        <v>312</v>
      </c>
      <c r="Z262" s="1061" t="s">
        <v>838</v>
      </c>
      <c r="AA262" s="1062" t="s">
        <v>838</v>
      </c>
    </row>
    <row r="263" spans="1:27" ht="38.25" x14ac:dyDescent="0.25">
      <c r="A263" s="274" t="s">
        <v>1109</v>
      </c>
      <c r="B263" s="345" t="s">
        <v>802</v>
      </c>
      <c r="C263" s="276">
        <v>2019</v>
      </c>
      <c r="D263" s="276" t="s">
        <v>811</v>
      </c>
      <c r="E263" s="276" t="s">
        <v>598</v>
      </c>
      <c r="F263" s="276" t="s">
        <v>598</v>
      </c>
      <c r="G263" s="1017" t="s">
        <v>712</v>
      </c>
      <c r="H263" s="370">
        <v>600</v>
      </c>
      <c r="I263" s="551">
        <v>0</v>
      </c>
      <c r="J263" s="17">
        <v>0</v>
      </c>
      <c r="K263" s="450">
        <v>0</v>
      </c>
      <c r="L263" s="59">
        <v>0</v>
      </c>
      <c r="M263" s="249">
        <v>0</v>
      </c>
      <c r="N263" s="250">
        <f t="shared" si="14"/>
        <v>0</v>
      </c>
      <c r="O263" s="598">
        <v>0</v>
      </c>
      <c r="P263" s="278">
        <v>0</v>
      </c>
      <c r="Q263" s="538">
        <v>300</v>
      </c>
      <c r="R263" s="1363">
        <v>0</v>
      </c>
      <c r="S263" s="538">
        <v>0</v>
      </c>
      <c r="T263" s="369">
        <v>0</v>
      </c>
      <c r="U263" s="369">
        <v>300</v>
      </c>
      <c r="V263" s="369">
        <v>0</v>
      </c>
      <c r="W263" s="276" t="s">
        <v>933</v>
      </c>
      <c r="X263" s="276" t="s">
        <v>22</v>
      </c>
      <c r="Y263" s="344" t="s">
        <v>893</v>
      </c>
      <c r="Z263" s="375" t="s">
        <v>838</v>
      </c>
      <c r="AA263" s="344" t="s">
        <v>838</v>
      </c>
    </row>
    <row r="264" spans="1:27" ht="38.25" x14ac:dyDescent="0.25">
      <c r="A264" s="274" t="s">
        <v>1110</v>
      </c>
      <c r="B264" s="345" t="s">
        <v>802</v>
      </c>
      <c r="C264" s="276">
        <v>2019</v>
      </c>
      <c r="D264" s="276" t="s">
        <v>811</v>
      </c>
      <c r="E264" s="276" t="s">
        <v>599</v>
      </c>
      <c r="F264" s="276" t="s">
        <v>599</v>
      </c>
      <c r="G264" s="1017" t="s">
        <v>600</v>
      </c>
      <c r="H264" s="370">
        <v>800</v>
      </c>
      <c r="I264" s="551">
        <v>0</v>
      </c>
      <c r="J264" s="17">
        <v>0</v>
      </c>
      <c r="K264" s="450">
        <v>0</v>
      </c>
      <c r="L264" s="59">
        <v>0</v>
      </c>
      <c r="M264" s="249">
        <v>0</v>
      </c>
      <c r="N264" s="250">
        <f t="shared" si="14"/>
        <v>0</v>
      </c>
      <c r="O264" s="598">
        <v>0</v>
      </c>
      <c r="P264" s="278">
        <v>0</v>
      </c>
      <c r="Q264" s="538">
        <v>0</v>
      </c>
      <c r="R264" s="1363">
        <v>0</v>
      </c>
      <c r="S264" s="538">
        <v>0</v>
      </c>
      <c r="T264" s="369">
        <v>0</v>
      </c>
      <c r="U264" s="369">
        <v>800</v>
      </c>
      <c r="V264" s="369">
        <v>0</v>
      </c>
      <c r="W264" s="276" t="s">
        <v>784</v>
      </c>
      <c r="X264" s="276" t="s">
        <v>22</v>
      </c>
      <c r="Y264" s="344" t="s">
        <v>893</v>
      </c>
      <c r="Z264" s="375" t="s">
        <v>838</v>
      </c>
      <c r="AA264" s="344" t="s">
        <v>838</v>
      </c>
    </row>
    <row r="265" spans="1:27" ht="38.25" x14ac:dyDescent="0.25">
      <c r="A265" s="544" t="s">
        <v>1111</v>
      </c>
      <c r="B265" s="351" t="s">
        <v>802</v>
      </c>
      <c r="C265" s="352">
        <v>2019</v>
      </c>
      <c r="D265" s="352" t="s">
        <v>811</v>
      </c>
      <c r="E265" s="352" t="s">
        <v>271</v>
      </c>
      <c r="F265" s="352" t="s">
        <v>271</v>
      </c>
      <c r="G265" s="545" t="s">
        <v>639</v>
      </c>
      <c r="H265" s="546">
        <v>400</v>
      </c>
      <c r="I265" s="550">
        <v>0</v>
      </c>
      <c r="J265" s="17">
        <v>0</v>
      </c>
      <c r="K265" s="461">
        <v>0</v>
      </c>
      <c r="L265" s="460">
        <v>0</v>
      </c>
      <c r="M265" s="539">
        <v>0</v>
      </c>
      <c r="N265" s="312">
        <f t="shared" si="14"/>
        <v>0</v>
      </c>
      <c r="O265" s="601">
        <v>0</v>
      </c>
      <c r="P265" s="357">
        <v>0</v>
      </c>
      <c r="Q265" s="540">
        <v>0</v>
      </c>
      <c r="R265" s="1363">
        <v>0</v>
      </c>
      <c r="S265" s="538">
        <v>0</v>
      </c>
      <c r="T265" s="369">
        <v>0</v>
      </c>
      <c r="U265" s="369">
        <v>400</v>
      </c>
      <c r="V265" s="369">
        <v>0</v>
      </c>
      <c r="W265" s="276" t="s">
        <v>926</v>
      </c>
      <c r="X265" s="352" t="s">
        <v>22</v>
      </c>
      <c r="Y265" s="359" t="s">
        <v>893</v>
      </c>
      <c r="Z265" s="402" t="s">
        <v>838</v>
      </c>
      <c r="AA265" s="359" t="s">
        <v>838</v>
      </c>
    </row>
    <row r="266" spans="1:27" ht="38.25" x14ac:dyDescent="0.25">
      <c r="A266" s="274" t="s">
        <v>1112</v>
      </c>
      <c r="B266" s="345" t="s">
        <v>802</v>
      </c>
      <c r="C266" s="276">
        <v>2019</v>
      </c>
      <c r="D266" s="276" t="s">
        <v>811</v>
      </c>
      <c r="E266" s="276" t="s">
        <v>271</v>
      </c>
      <c r="F266" s="276" t="s">
        <v>271</v>
      </c>
      <c r="G266" s="1017" t="s">
        <v>805</v>
      </c>
      <c r="H266" s="370">
        <v>1250</v>
      </c>
      <c r="I266" s="551">
        <v>0</v>
      </c>
      <c r="J266" s="17">
        <v>0</v>
      </c>
      <c r="K266" s="450">
        <v>0</v>
      </c>
      <c r="L266" s="59">
        <v>0</v>
      </c>
      <c r="M266" s="249">
        <v>0</v>
      </c>
      <c r="N266" s="250">
        <f t="shared" si="14"/>
        <v>0</v>
      </c>
      <c r="O266" s="598">
        <v>0</v>
      </c>
      <c r="P266" s="278">
        <v>0</v>
      </c>
      <c r="Q266" s="538">
        <v>0</v>
      </c>
      <c r="R266" s="1363">
        <v>0</v>
      </c>
      <c r="S266" s="538">
        <v>0</v>
      </c>
      <c r="T266" s="369">
        <v>0</v>
      </c>
      <c r="U266" s="369">
        <v>1250</v>
      </c>
      <c r="V266" s="369">
        <v>0</v>
      </c>
      <c r="W266" s="276" t="s">
        <v>784</v>
      </c>
      <c r="X266" s="276" t="s">
        <v>22</v>
      </c>
      <c r="Y266" s="344" t="s">
        <v>893</v>
      </c>
      <c r="Z266" s="375" t="s">
        <v>838</v>
      </c>
      <c r="AA266" s="344" t="s">
        <v>838</v>
      </c>
    </row>
    <row r="267" spans="1:27" ht="25.5" x14ac:dyDescent="0.25">
      <c r="A267" s="274" t="s">
        <v>1113</v>
      </c>
      <c r="B267" s="345" t="s">
        <v>802</v>
      </c>
      <c r="C267" s="276">
        <v>2019</v>
      </c>
      <c r="D267" s="276" t="s">
        <v>811</v>
      </c>
      <c r="E267" s="276" t="s">
        <v>601</v>
      </c>
      <c r="F267" s="276" t="s">
        <v>601</v>
      </c>
      <c r="G267" s="1017" t="s">
        <v>602</v>
      </c>
      <c r="H267" s="370">
        <v>1112</v>
      </c>
      <c r="I267" s="551">
        <v>0</v>
      </c>
      <c r="J267" s="17">
        <v>0</v>
      </c>
      <c r="K267" s="450">
        <v>0</v>
      </c>
      <c r="L267" s="59">
        <v>0</v>
      </c>
      <c r="M267" s="249">
        <v>0</v>
      </c>
      <c r="N267" s="250">
        <f t="shared" si="14"/>
        <v>0</v>
      </c>
      <c r="O267" s="598">
        <v>0</v>
      </c>
      <c r="P267" s="278">
        <v>0</v>
      </c>
      <c r="Q267" s="538">
        <v>0</v>
      </c>
      <c r="R267" s="1363">
        <v>0</v>
      </c>
      <c r="S267" s="538">
        <v>0</v>
      </c>
      <c r="T267" s="369">
        <v>0</v>
      </c>
      <c r="U267" s="369">
        <v>1112</v>
      </c>
      <c r="V267" s="369">
        <v>0</v>
      </c>
      <c r="W267" s="276" t="s">
        <v>784</v>
      </c>
      <c r="X267" s="276" t="s">
        <v>22</v>
      </c>
      <c r="Y267" s="344" t="s">
        <v>1001</v>
      </c>
      <c r="Z267" s="375" t="s">
        <v>838</v>
      </c>
      <c r="AA267" s="344" t="s">
        <v>838</v>
      </c>
    </row>
    <row r="268" spans="1:27" ht="25.5" x14ac:dyDescent="0.25">
      <c r="A268" s="274" t="s">
        <v>1114</v>
      </c>
      <c r="B268" s="345" t="s">
        <v>802</v>
      </c>
      <c r="C268" s="276">
        <v>2019</v>
      </c>
      <c r="D268" s="276" t="s">
        <v>811</v>
      </c>
      <c r="E268" s="276" t="s">
        <v>603</v>
      </c>
      <c r="F268" s="276" t="s">
        <v>603</v>
      </c>
      <c r="G268" s="1017" t="s">
        <v>604</v>
      </c>
      <c r="H268" s="370">
        <v>600</v>
      </c>
      <c r="I268" s="551">
        <v>0</v>
      </c>
      <c r="J268" s="17">
        <v>0</v>
      </c>
      <c r="K268" s="450">
        <v>0</v>
      </c>
      <c r="L268" s="59">
        <v>0</v>
      </c>
      <c r="M268" s="249">
        <v>0</v>
      </c>
      <c r="N268" s="250">
        <f t="shared" si="14"/>
        <v>0</v>
      </c>
      <c r="O268" s="598">
        <v>0</v>
      </c>
      <c r="P268" s="278">
        <v>0</v>
      </c>
      <c r="Q268" s="538">
        <v>250</v>
      </c>
      <c r="R268" s="1363">
        <v>0</v>
      </c>
      <c r="S268" s="538">
        <v>0</v>
      </c>
      <c r="T268" s="369">
        <v>0</v>
      </c>
      <c r="U268" s="369">
        <v>350</v>
      </c>
      <c r="V268" s="369">
        <v>0</v>
      </c>
      <c r="W268" s="276" t="s">
        <v>926</v>
      </c>
      <c r="X268" s="276" t="s">
        <v>22</v>
      </c>
      <c r="Y268" s="344" t="s">
        <v>1001</v>
      </c>
      <c r="Z268" s="375" t="s">
        <v>838</v>
      </c>
      <c r="AA268" s="344" t="s">
        <v>838</v>
      </c>
    </row>
    <row r="269" spans="1:27" ht="25.5" x14ac:dyDescent="0.25">
      <c r="A269" s="274" t="s">
        <v>1115</v>
      </c>
      <c r="B269" s="345" t="s">
        <v>802</v>
      </c>
      <c r="C269" s="276">
        <v>2019</v>
      </c>
      <c r="D269" s="276" t="s">
        <v>811</v>
      </c>
      <c r="E269" s="276" t="s">
        <v>605</v>
      </c>
      <c r="F269" s="276" t="s">
        <v>605</v>
      </c>
      <c r="G269" s="1017" t="s">
        <v>606</v>
      </c>
      <c r="H269" s="370">
        <v>4900</v>
      </c>
      <c r="I269" s="551">
        <v>0</v>
      </c>
      <c r="J269" s="17">
        <v>0</v>
      </c>
      <c r="K269" s="450">
        <v>0</v>
      </c>
      <c r="L269" s="59">
        <v>0</v>
      </c>
      <c r="M269" s="249">
        <v>0</v>
      </c>
      <c r="N269" s="250">
        <f t="shared" si="14"/>
        <v>0</v>
      </c>
      <c r="O269" s="598">
        <v>0</v>
      </c>
      <c r="P269" s="278">
        <v>0</v>
      </c>
      <c r="Q269" s="538">
        <v>0</v>
      </c>
      <c r="R269" s="1363">
        <v>0</v>
      </c>
      <c r="S269" s="538">
        <v>0</v>
      </c>
      <c r="T269" s="369">
        <v>0</v>
      </c>
      <c r="U269" s="369">
        <v>4900</v>
      </c>
      <c r="V269" s="369">
        <v>0</v>
      </c>
      <c r="W269" s="276" t="s">
        <v>784</v>
      </c>
      <c r="X269" s="276" t="s">
        <v>22</v>
      </c>
      <c r="Y269" s="344" t="s">
        <v>1001</v>
      </c>
      <c r="Z269" s="375" t="s">
        <v>838</v>
      </c>
      <c r="AA269" s="344" t="s">
        <v>838</v>
      </c>
    </row>
    <row r="270" spans="1:27" ht="25.5" x14ac:dyDescent="0.25">
      <c r="A270" s="274" t="s">
        <v>1116</v>
      </c>
      <c r="B270" s="345" t="s">
        <v>802</v>
      </c>
      <c r="C270" s="276">
        <v>2019</v>
      </c>
      <c r="D270" s="276" t="s">
        <v>811</v>
      </c>
      <c r="E270" s="276" t="s">
        <v>14</v>
      </c>
      <c r="F270" s="276" t="s">
        <v>607</v>
      </c>
      <c r="G270" s="1017" t="s">
        <v>608</v>
      </c>
      <c r="H270" s="370">
        <v>17000</v>
      </c>
      <c r="I270" s="551">
        <v>0</v>
      </c>
      <c r="J270" s="17">
        <v>0</v>
      </c>
      <c r="K270" s="450">
        <v>0</v>
      </c>
      <c r="L270" s="59">
        <v>0</v>
      </c>
      <c r="M270" s="249">
        <v>0</v>
      </c>
      <c r="N270" s="250">
        <f t="shared" si="14"/>
        <v>0</v>
      </c>
      <c r="O270" s="598">
        <v>0</v>
      </c>
      <c r="P270" s="278">
        <v>0</v>
      </c>
      <c r="Q270" s="538">
        <v>0</v>
      </c>
      <c r="R270" s="1363">
        <v>0</v>
      </c>
      <c r="S270" s="538">
        <v>0</v>
      </c>
      <c r="T270" s="369">
        <v>0</v>
      </c>
      <c r="U270" s="369">
        <v>0</v>
      </c>
      <c r="V270" s="369">
        <v>17000</v>
      </c>
      <c r="W270" s="276" t="s">
        <v>784</v>
      </c>
      <c r="X270" s="276" t="s">
        <v>22</v>
      </c>
      <c r="Y270" s="344" t="s">
        <v>1002</v>
      </c>
      <c r="Z270" s="375" t="s">
        <v>838</v>
      </c>
      <c r="AA270" s="344" t="s">
        <v>838</v>
      </c>
    </row>
    <row r="271" spans="1:27" ht="38.25" x14ac:dyDescent="0.25">
      <c r="A271" s="274" t="s">
        <v>1117</v>
      </c>
      <c r="B271" s="345" t="s">
        <v>802</v>
      </c>
      <c r="C271" s="276">
        <v>2019</v>
      </c>
      <c r="D271" s="276" t="s">
        <v>811</v>
      </c>
      <c r="E271" s="276" t="s">
        <v>14</v>
      </c>
      <c r="F271" s="276" t="s">
        <v>565</v>
      </c>
      <c r="G271" s="1017" t="s">
        <v>609</v>
      </c>
      <c r="H271" s="370">
        <v>12100</v>
      </c>
      <c r="I271" s="551">
        <v>0</v>
      </c>
      <c r="J271" s="17">
        <v>0</v>
      </c>
      <c r="K271" s="450">
        <v>0</v>
      </c>
      <c r="L271" s="59">
        <v>0</v>
      </c>
      <c r="M271" s="249">
        <v>0</v>
      </c>
      <c r="N271" s="250">
        <f t="shared" si="14"/>
        <v>0</v>
      </c>
      <c r="O271" s="598">
        <v>0</v>
      </c>
      <c r="P271" s="278">
        <v>0</v>
      </c>
      <c r="Q271" s="538">
        <v>0</v>
      </c>
      <c r="R271" s="1363">
        <v>0</v>
      </c>
      <c r="S271" s="538">
        <v>0</v>
      </c>
      <c r="T271" s="369">
        <v>0</v>
      </c>
      <c r="U271" s="369">
        <v>12100</v>
      </c>
      <c r="V271" s="369">
        <v>0</v>
      </c>
      <c r="W271" s="276" t="s">
        <v>784</v>
      </c>
      <c r="X271" s="276" t="s">
        <v>22</v>
      </c>
      <c r="Y271" s="371" t="s">
        <v>27</v>
      </c>
      <c r="Z271" s="375" t="s">
        <v>838</v>
      </c>
      <c r="AA271" s="344" t="s">
        <v>838</v>
      </c>
    </row>
    <row r="272" spans="1:27" ht="25.5" x14ac:dyDescent="0.25">
      <c r="A272" s="274" t="s">
        <v>1118</v>
      </c>
      <c r="B272" s="345" t="s">
        <v>802</v>
      </c>
      <c r="C272" s="276">
        <v>2019</v>
      </c>
      <c r="D272" s="276" t="s">
        <v>811</v>
      </c>
      <c r="E272" s="276" t="s">
        <v>610</v>
      </c>
      <c r="F272" s="276" t="s">
        <v>610</v>
      </c>
      <c r="G272" s="1017" t="s">
        <v>611</v>
      </c>
      <c r="H272" s="370">
        <v>2500</v>
      </c>
      <c r="I272" s="551">
        <v>0</v>
      </c>
      <c r="J272" s="17">
        <v>0</v>
      </c>
      <c r="K272" s="450">
        <v>0</v>
      </c>
      <c r="L272" s="59">
        <v>0</v>
      </c>
      <c r="M272" s="249">
        <v>0</v>
      </c>
      <c r="N272" s="250">
        <f t="shared" si="14"/>
        <v>0</v>
      </c>
      <c r="O272" s="598">
        <v>0</v>
      </c>
      <c r="P272" s="278">
        <v>0</v>
      </c>
      <c r="Q272" s="538">
        <v>0</v>
      </c>
      <c r="R272" s="1363">
        <v>0</v>
      </c>
      <c r="S272" s="538">
        <v>0</v>
      </c>
      <c r="T272" s="369">
        <v>2500</v>
      </c>
      <c r="U272" s="369">
        <v>0</v>
      </c>
      <c r="V272" s="369">
        <v>0</v>
      </c>
      <c r="W272" s="276" t="s">
        <v>784</v>
      </c>
      <c r="X272" s="276" t="s">
        <v>22</v>
      </c>
      <c r="Y272" s="371" t="s">
        <v>865</v>
      </c>
      <c r="Z272" s="375" t="s">
        <v>838</v>
      </c>
      <c r="AA272" s="344" t="s">
        <v>838</v>
      </c>
    </row>
    <row r="273" spans="1:27" ht="30" x14ac:dyDescent="0.25">
      <c r="A273" s="1306" t="s">
        <v>1119</v>
      </c>
      <c r="B273" s="1043" t="s">
        <v>802</v>
      </c>
      <c r="C273" s="657">
        <v>2019</v>
      </c>
      <c r="D273" s="657" t="s">
        <v>811</v>
      </c>
      <c r="E273" s="657" t="s">
        <v>207</v>
      </c>
      <c r="F273" s="657" t="s">
        <v>207</v>
      </c>
      <c r="G273" s="1666" t="s">
        <v>612</v>
      </c>
      <c r="H273" s="1868">
        <v>320</v>
      </c>
      <c r="I273" s="658">
        <v>0</v>
      </c>
      <c r="J273" s="813">
        <v>0</v>
      </c>
      <c r="K273" s="1050">
        <v>320</v>
      </c>
      <c r="L273" s="1051">
        <v>0</v>
      </c>
      <c r="M273" s="1052">
        <v>320</v>
      </c>
      <c r="N273" s="1053">
        <f t="shared" si="14"/>
        <v>320</v>
      </c>
      <c r="O273" s="1311">
        <v>0</v>
      </c>
      <c r="P273" s="1310">
        <v>0</v>
      </c>
      <c r="Q273" s="1245">
        <v>0</v>
      </c>
      <c r="R273" s="1364">
        <v>0</v>
      </c>
      <c r="S273" s="1245">
        <v>0</v>
      </c>
      <c r="T273" s="1760">
        <v>0</v>
      </c>
      <c r="U273" s="1760">
        <v>0</v>
      </c>
      <c r="V273" s="1760">
        <v>0</v>
      </c>
      <c r="W273" s="657" t="s">
        <v>1625</v>
      </c>
      <c r="X273" s="657" t="s">
        <v>22</v>
      </c>
      <c r="Y273" s="1062" t="s">
        <v>312</v>
      </c>
      <c r="Z273" s="1061" t="s">
        <v>838</v>
      </c>
      <c r="AA273" s="1062" t="s">
        <v>838</v>
      </c>
    </row>
    <row r="274" spans="1:27" s="717" customFormat="1" ht="25.5" x14ac:dyDescent="0.25">
      <c r="A274" s="1285" t="s">
        <v>1120</v>
      </c>
      <c r="B274" s="1286" t="s">
        <v>802</v>
      </c>
      <c r="C274" s="1287">
        <v>2019</v>
      </c>
      <c r="D274" s="1287" t="s">
        <v>811</v>
      </c>
      <c r="E274" s="1287" t="s">
        <v>613</v>
      </c>
      <c r="F274" s="1287" t="s">
        <v>613</v>
      </c>
      <c r="G274" s="1288" t="s">
        <v>614</v>
      </c>
      <c r="H274" s="1289">
        <v>900</v>
      </c>
      <c r="I274" s="655">
        <v>0</v>
      </c>
      <c r="J274" s="521">
        <v>0</v>
      </c>
      <c r="K274" s="1290">
        <v>0</v>
      </c>
      <c r="L274" s="1040">
        <v>0</v>
      </c>
      <c r="M274" s="873">
        <v>0</v>
      </c>
      <c r="N274" s="874">
        <f t="shared" si="14"/>
        <v>0</v>
      </c>
      <c r="O274" s="1291">
        <v>0</v>
      </c>
      <c r="P274" s="1292">
        <v>0</v>
      </c>
      <c r="Q274" s="1293">
        <v>0</v>
      </c>
      <c r="R274" s="1820">
        <v>0</v>
      </c>
      <c r="S274" s="1293">
        <v>0</v>
      </c>
      <c r="T274" s="1294">
        <v>900</v>
      </c>
      <c r="U274" s="1294">
        <v>0</v>
      </c>
      <c r="V274" s="1294">
        <v>0</v>
      </c>
      <c r="W274" s="1287" t="s">
        <v>1611</v>
      </c>
      <c r="X274" s="1287" t="s">
        <v>22</v>
      </c>
      <c r="Y274" s="1295" t="s">
        <v>894</v>
      </c>
      <c r="Z274" s="1296" t="s">
        <v>838</v>
      </c>
      <c r="AA274" s="650" t="s">
        <v>838</v>
      </c>
    </row>
    <row r="275" spans="1:27" ht="38.25" x14ac:dyDescent="0.25">
      <c r="A275" s="274" t="s">
        <v>1121</v>
      </c>
      <c r="B275" s="345" t="s">
        <v>802</v>
      </c>
      <c r="C275" s="276">
        <v>2019</v>
      </c>
      <c r="D275" s="276" t="s">
        <v>811</v>
      </c>
      <c r="E275" s="276" t="s">
        <v>567</v>
      </c>
      <c r="F275" s="276" t="s">
        <v>567</v>
      </c>
      <c r="G275" s="1017" t="s">
        <v>615</v>
      </c>
      <c r="H275" s="370">
        <v>3950</v>
      </c>
      <c r="I275" s="551">
        <v>0</v>
      </c>
      <c r="J275" s="17">
        <v>0</v>
      </c>
      <c r="K275" s="450">
        <v>0</v>
      </c>
      <c r="L275" s="59">
        <v>0</v>
      </c>
      <c r="M275" s="249">
        <v>0</v>
      </c>
      <c r="N275" s="250">
        <f t="shared" si="14"/>
        <v>0</v>
      </c>
      <c r="O275" s="598">
        <v>0</v>
      </c>
      <c r="P275" s="278">
        <v>0</v>
      </c>
      <c r="Q275" s="538">
        <v>0</v>
      </c>
      <c r="R275" s="1363">
        <v>0</v>
      </c>
      <c r="S275" s="538">
        <v>0</v>
      </c>
      <c r="T275" s="369">
        <v>0</v>
      </c>
      <c r="U275" s="369">
        <v>3950</v>
      </c>
      <c r="V275" s="369">
        <v>0</v>
      </c>
      <c r="W275" s="276" t="s">
        <v>784</v>
      </c>
      <c r="X275" s="276" t="s">
        <v>22</v>
      </c>
      <c r="Y275" s="344" t="s">
        <v>893</v>
      </c>
      <c r="Z275" s="375" t="s">
        <v>838</v>
      </c>
      <c r="AA275" s="344" t="s">
        <v>838</v>
      </c>
    </row>
    <row r="276" spans="1:27" ht="25.5" x14ac:dyDescent="0.25">
      <c r="A276" s="274" t="s">
        <v>1122</v>
      </c>
      <c r="B276" s="345" t="s">
        <v>896</v>
      </c>
      <c r="C276" s="276">
        <v>2019</v>
      </c>
      <c r="D276" s="276" t="s">
        <v>811</v>
      </c>
      <c r="E276" s="276" t="s">
        <v>616</v>
      </c>
      <c r="F276" s="276" t="s">
        <v>616</v>
      </c>
      <c r="G276" s="1017" t="s">
        <v>617</v>
      </c>
      <c r="H276" s="370">
        <v>4285</v>
      </c>
      <c r="I276" s="551">
        <v>0</v>
      </c>
      <c r="J276" s="17">
        <v>0</v>
      </c>
      <c r="K276" s="450">
        <v>0</v>
      </c>
      <c r="L276" s="59">
        <v>0</v>
      </c>
      <c r="M276" s="249">
        <v>0</v>
      </c>
      <c r="N276" s="250">
        <f t="shared" si="14"/>
        <v>0</v>
      </c>
      <c r="O276" s="598">
        <v>0</v>
      </c>
      <c r="P276" s="278">
        <v>185</v>
      </c>
      <c r="Q276" s="538">
        <v>0</v>
      </c>
      <c r="R276" s="1363">
        <v>0</v>
      </c>
      <c r="S276" s="538">
        <v>0</v>
      </c>
      <c r="T276" s="369">
        <v>4100</v>
      </c>
      <c r="U276" s="369">
        <v>0</v>
      </c>
      <c r="V276" s="369">
        <v>0</v>
      </c>
      <c r="W276" s="276" t="s">
        <v>1156</v>
      </c>
      <c r="X276" s="276" t="s">
        <v>22</v>
      </c>
      <c r="Y276" s="344" t="s">
        <v>894</v>
      </c>
      <c r="Z276" s="375" t="s">
        <v>838</v>
      </c>
      <c r="AA276" s="344" t="s">
        <v>838</v>
      </c>
    </row>
    <row r="277" spans="1:27" ht="38.25" x14ac:dyDescent="0.25">
      <c r="A277" s="274" t="s">
        <v>1123</v>
      </c>
      <c r="B277" s="345" t="s">
        <v>802</v>
      </c>
      <c r="C277" s="276">
        <v>2019</v>
      </c>
      <c r="D277" s="276" t="s">
        <v>811</v>
      </c>
      <c r="E277" s="276" t="s">
        <v>209</v>
      </c>
      <c r="F277" s="276" t="s">
        <v>209</v>
      </c>
      <c r="G277" s="1017" t="s">
        <v>618</v>
      </c>
      <c r="H277" s="370">
        <v>950</v>
      </c>
      <c r="I277" s="551">
        <v>0</v>
      </c>
      <c r="J277" s="17">
        <v>0</v>
      </c>
      <c r="K277" s="450">
        <v>0</v>
      </c>
      <c r="L277" s="59">
        <v>0</v>
      </c>
      <c r="M277" s="249">
        <v>0</v>
      </c>
      <c r="N277" s="250">
        <f t="shared" si="14"/>
        <v>0</v>
      </c>
      <c r="O277" s="598">
        <v>0</v>
      </c>
      <c r="P277" s="278">
        <v>0</v>
      </c>
      <c r="Q277" s="538">
        <v>0</v>
      </c>
      <c r="R277" s="1363">
        <v>0</v>
      </c>
      <c r="S277" s="538">
        <v>0</v>
      </c>
      <c r="T277" s="369">
        <v>0</v>
      </c>
      <c r="U277" s="369">
        <v>0</v>
      </c>
      <c r="V277" s="369">
        <v>950</v>
      </c>
      <c r="W277" s="276" t="s">
        <v>784</v>
      </c>
      <c r="X277" s="276" t="s">
        <v>22</v>
      </c>
      <c r="Y277" s="344" t="s">
        <v>893</v>
      </c>
      <c r="Z277" s="375" t="s">
        <v>838</v>
      </c>
      <c r="AA277" s="344" t="s">
        <v>838</v>
      </c>
    </row>
    <row r="278" spans="1:27" ht="38.25" x14ac:dyDescent="0.25">
      <c r="A278" s="274" t="s">
        <v>1124</v>
      </c>
      <c r="B278" s="345" t="s">
        <v>802</v>
      </c>
      <c r="C278" s="276">
        <v>2019</v>
      </c>
      <c r="D278" s="276" t="s">
        <v>811</v>
      </c>
      <c r="E278" s="276" t="s">
        <v>14</v>
      </c>
      <c r="F278" s="276" t="s">
        <v>619</v>
      </c>
      <c r="G278" s="1017" t="s">
        <v>620</v>
      </c>
      <c r="H278" s="370">
        <v>8500</v>
      </c>
      <c r="I278" s="551">
        <v>0</v>
      </c>
      <c r="J278" s="17">
        <v>0</v>
      </c>
      <c r="K278" s="450">
        <v>0</v>
      </c>
      <c r="L278" s="59">
        <v>0</v>
      </c>
      <c r="M278" s="249">
        <v>0</v>
      </c>
      <c r="N278" s="250">
        <f t="shared" si="14"/>
        <v>0</v>
      </c>
      <c r="O278" s="598">
        <v>0</v>
      </c>
      <c r="P278" s="278">
        <v>0</v>
      </c>
      <c r="Q278" s="538">
        <v>0</v>
      </c>
      <c r="R278" s="1363">
        <v>0</v>
      </c>
      <c r="S278" s="538">
        <v>0</v>
      </c>
      <c r="T278" s="406">
        <v>1000</v>
      </c>
      <c r="U278" s="369">
        <v>7500</v>
      </c>
      <c r="V278" s="369">
        <v>0</v>
      </c>
      <c r="W278" s="276" t="s">
        <v>1016</v>
      </c>
      <c r="X278" s="276" t="s">
        <v>22</v>
      </c>
      <c r="Y278" s="371" t="s">
        <v>1001</v>
      </c>
      <c r="Z278" s="375" t="s">
        <v>838</v>
      </c>
      <c r="AA278" s="344" t="s">
        <v>838</v>
      </c>
    </row>
    <row r="279" spans="1:27" ht="38.25" x14ac:dyDescent="0.25">
      <c r="A279" s="274" t="s">
        <v>1125</v>
      </c>
      <c r="B279" s="345" t="s">
        <v>1483</v>
      </c>
      <c r="C279" s="276">
        <v>2019</v>
      </c>
      <c r="D279" s="276" t="s">
        <v>811</v>
      </c>
      <c r="E279" s="276" t="s">
        <v>619</v>
      </c>
      <c r="F279" s="276" t="s">
        <v>619</v>
      </c>
      <c r="G279" s="1017" t="s">
        <v>897</v>
      </c>
      <c r="H279" s="370">
        <v>450</v>
      </c>
      <c r="I279" s="551">
        <v>0</v>
      </c>
      <c r="J279" s="17">
        <v>0</v>
      </c>
      <c r="K279" s="450">
        <v>450</v>
      </c>
      <c r="L279" s="59">
        <v>450</v>
      </c>
      <c r="M279" s="249">
        <v>0</v>
      </c>
      <c r="N279" s="250">
        <f t="shared" si="14"/>
        <v>450</v>
      </c>
      <c r="O279" s="598">
        <v>0</v>
      </c>
      <c r="P279" s="278">
        <v>0</v>
      </c>
      <c r="Q279" s="538">
        <v>0</v>
      </c>
      <c r="R279" s="1363">
        <v>0</v>
      </c>
      <c r="S279" s="538">
        <v>0</v>
      </c>
      <c r="T279" s="369">
        <v>0</v>
      </c>
      <c r="U279" s="369">
        <v>0</v>
      </c>
      <c r="V279" s="369">
        <v>0</v>
      </c>
      <c r="W279" s="276" t="s">
        <v>784</v>
      </c>
      <c r="X279" s="276" t="s">
        <v>22</v>
      </c>
      <c r="Y279" s="371" t="s">
        <v>312</v>
      </c>
      <c r="Z279" s="375" t="s">
        <v>838</v>
      </c>
      <c r="AA279" s="344" t="s">
        <v>838</v>
      </c>
    </row>
    <row r="280" spans="1:27" ht="25.5" x14ac:dyDescent="0.25">
      <c r="A280" s="274" t="s">
        <v>1126</v>
      </c>
      <c r="B280" s="345" t="s">
        <v>802</v>
      </c>
      <c r="C280" s="276">
        <v>2019</v>
      </c>
      <c r="D280" s="276" t="s">
        <v>811</v>
      </c>
      <c r="E280" s="276" t="s">
        <v>621</v>
      </c>
      <c r="F280" s="276" t="s">
        <v>621</v>
      </c>
      <c r="G280" s="1017" t="s">
        <v>622</v>
      </c>
      <c r="H280" s="370">
        <v>460</v>
      </c>
      <c r="I280" s="551">
        <v>0</v>
      </c>
      <c r="J280" s="17">
        <v>0</v>
      </c>
      <c r="K280" s="450">
        <v>0</v>
      </c>
      <c r="L280" s="59">
        <v>0</v>
      </c>
      <c r="M280" s="249">
        <v>0</v>
      </c>
      <c r="N280" s="250">
        <f t="shared" si="14"/>
        <v>0</v>
      </c>
      <c r="O280" s="598">
        <v>0</v>
      </c>
      <c r="P280" s="278">
        <v>0</v>
      </c>
      <c r="Q280" s="538">
        <v>0</v>
      </c>
      <c r="R280" s="1363">
        <v>0</v>
      </c>
      <c r="S280" s="538">
        <v>0</v>
      </c>
      <c r="T280" s="369">
        <v>0</v>
      </c>
      <c r="U280" s="369">
        <v>460</v>
      </c>
      <c r="V280" s="369">
        <v>0</v>
      </c>
      <c r="W280" s="276" t="s">
        <v>784</v>
      </c>
      <c r="X280" s="276" t="s">
        <v>22</v>
      </c>
      <c r="Y280" s="371" t="s">
        <v>1009</v>
      </c>
      <c r="Z280" s="375" t="s">
        <v>838</v>
      </c>
      <c r="AA280" s="344" t="s">
        <v>838</v>
      </c>
    </row>
    <row r="281" spans="1:27" ht="25.5" x14ac:dyDescent="0.25">
      <c r="A281" s="274" t="s">
        <v>1127</v>
      </c>
      <c r="B281" s="274" t="s">
        <v>802</v>
      </c>
      <c r="C281" s="276">
        <v>2019</v>
      </c>
      <c r="D281" s="276" t="s">
        <v>811</v>
      </c>
      <c r="E281" s="276" t="s">
        <v>623</v>
      </c>
      <c r="F281" s="276" t="s">
        <v>623</v>
      </c>
      <c r="G281" s="1017" t="s">
        <v>624</v>
      </c>
      <c r="H281" s="370">
        <v>1633</v>
      </c>
      <c r="I281" s="551">
        <v>0</v>
      </c>
      <c r="J281" s="17">
        <v>0</v>
      </c>
      <c r="K281" s="450">
        <v>0</v>
      </c>
      <c r="L281" s="59">
        <v>0</v>
      </c>
      <c r="M281" s="249">
        <v>0</v>
      </c>
      <c r="N281" s="250">
        <f t="shared" si="14"/>
        <v>0</v>
      </c>
      <c r="O281" s="598">
        <v>0</v>
      </c>
      <c r="P281" s="278">
        <v>0</v>
      </c>
      <c r="Q281" s="538">
        <v>0</v>
      </c>
      <c r="R281" s="1363">
        <v>0</v>
      </c>
      <c r="S281" s="538">
        <v>0</v>
      </c>
      <c r="T281" s="369">
        <v>0</v>
      </c>
      <c r="U281" s="369">
        <v>1633</v>
      </c>
      <c r="V281" s="369">
        <v>0</v>
      </c>
      <c r="W281" s="276" t="s">
        <v>784</v>
      </c>
      <c r="X281" s="276" t="s">
        <v>22</v>
      </c>
      <c r="Y281" s="371" t="s">
        <v>1001</v>
      </c>
      <c r="Z281" s="375" t="s">
        <v>838</v>
      </c>
      <c r="AA281" s="344" t="s">
        <v>838</v>
      </c>
    </row>
    <row r="282" spans="1:27" ht="25.5" x14ac:dyDescent="0.25">
      <c r="A282" s="274" t="s">
        <v>1128</v>
      </c>
      <c r="B282" s="274" t="s">
        <v>802</v>
      </c>
      <c r="C282" s="276">
        <v>2019</v>
      </c>
      <c r="D282" s="276" t="s">
        <v>811</v>
      </c>
      <c r="E282" s="276" t="s">
        <v>625</v>
      </c>
      <c r="F282" s="276" t="s">
        <v>625</v>
      </c>
      <c r="G282" s="1017" t="s">
        <v>626</v>
      </c>
      <c r="H282" s="370">
        <v>3450</v>
      </c>
      <c r="I282" s="551">
        <v>0</v>
      </c>
      <c r="J282" s="17">
        <v>0</v>
      </c>
      <c r="K282" s="450">
        <v>0</v>
      </c>
      <c r="L282" s="59">
        <v>0</v>
      </c>
      <c r="M282" s="249">
        <v>0</v>
      </c>
      <c r="N282" s="250">
        <f t="shared" si="14"/>
        <v>0</v>
      </c>
      <c r="O282" s="598">
        <v>0</v>
      </c>
      <c r="P282" s="278">
        <v>0</v>
      </c>
      <c r="Q282" s="538">
        <v>800</v>
      </c>
      <c r="R282" s="1363">
        <v>0</v>
      </c>
      <c r="S282" s="538">
        <v>0</v>
      </c>
      <c r="T282" s="369">
        <v>0</v>
      </c>
      <c r="U282" s="369">
        <v>0</v>
      </c>
      <c r="V282" s="369">
        <v>2650</v>
      </c>
      <c r="W282" s="276" t="s">
        <v>926</v>
      </c>
      <c r="X282" s="276" t="s">
        <v>22</v>
      </c>
      <c r="Y282" s="344" t="s">
        <v>1008</v>
      </c>
      <c r="Z282" s="375" t="s">
        <v>838</v>
      </c>
      <c r="AA282" s="344" t="s">
        <v>838</v>
      </c>
    </row>
    <row r="283" spans="1:27" ht="30" x14ac:dyDescent="0.25">
      <c r="A283" s="274" t="s">
        <v>1129</v>
      </c>
      <c r="B283" s="274" t="s">
        <v>1263</v>
      </c>
      <c r="C283" s="276">
        <v>2019</v>
      </c>
      <c r="D283" s="276" t="s">
        <v>811</v>
      </c>
      <c r="E283" s="276" t="s">
        <v>627</v>
      </c>
      <c r="F283" s="276" t="s">
        <v>627</v>
      </c>
      <c r="G283" s="1017" t="s">
        <v>713</v>
      </c>
      <c r="H283" s="656">
        <v>3900</v>
      </c>
      <c r="I283" s="551">
        <v>0</v>
      </c>
      <c r="J283" s="17">
        <v>385.053</v>
      </c>
      <c r="K283" s="450">
        <v>3514.9470000000001</v>
      </c>
      <c r="L283" s="59">
        <v>3900</v>
      </c>
      <c r="M283" s="249">
        <v>0</v>
      </c>
      <c r="N283" s="250">
        <f t="shared" si="14"/>
        <v>3900</v>
      </c>
      <c r="O283" s="598">
        <v>0</v>
      </c>
      <c r="P283" s="278">
        <v>0</v>
      </c>
      <c r="Q283" s="538">
        <v>0</v>
      </c>
      <c r="R283" s="1363">
        <v>0</v>
      </c>
      <c r="S283" s="538">
        <v>0</v>
      </c>
      <c r="T283" s="369">
        <v>0</v>
      </c>
      <c r="U283" s="369">
        <v>0</v>
      </c>
      <c r="V283" s="369">
        <v>0</v>
      </c>
      <c r="W283" s="276" t="s">
        <v>930</v>
      </c>
      <c r="X283" s="276" t="s">
        <v>22</v>
      </c>
      <c r="Y283" s="371" t="s">
        <v>571</v>
      </c>
      <c r="Z283" s="375" t="s">
        <v>838</v>
      </c>
      <c r="AA283" s="344" t="s">
        <v>838</v>
      </c>
    </row>
    <row r="284" spans="1:27" ht="25.5" x14ac:dyDescent="0.25">
      <c r="A284" s="1306" t="s">
        <v>1130</v>
      </c>
      <c r="B284" s="1306" t="s">
        <v>802</v>
      </c>
      <c r="C284" s="657">
        <v>2019</v>
      </c>
      <c r="D284" s="657" t="s">
        <v>811</v>
      </c>
      <c r="E284" s="657" t="s">
        <v>217</v>
      </c>
      <c r="F284" s="657" t="s">
        <v>217</v>
      </c>
      <c r="G284" s="1666" t="s">
        <v>628</v>
      </c>
      <c r="H284" s="1868">
        <v>1200</v>
      </c>
      <c r="I284" s="658">
        <v>0</v>
      </c>
      <c r="J284" s="813">
        <v>0</v>
      </c>
      <c r="K284" s="1050">
        <v>1200</v>
      </c>
      <c r="L284" s="1051">
        <v>0</v>
      </c>
      <c r="M284" s="1052">
        <v>1200</v>
      </c>
      <c r="N284" s="1053">
        <f t="shared" si="14"/>
        <v>1200</v>
      </c>
      <c r="O284" s="1311">
        <v>0</v>
      </c>
      <c r="P284" s="1310">
        <v>0</v>
      </c>
      <c r="Q284" s="1245">
        <v>0</v>
      </c>
      <c r="R284" s="1364">
        <v>0</v>
      </c>
      <c r="S284" s="1245">
        <v>0</v>
      </c>
      <c r="T284" s="1760">
        <v>0</v>
      </c>
      <c r="U284" s="1760">
        <v>0</v>
      </c>
      <c r="V284" s="1760">
        <v>0</v>
      </c>
      <c r="W284" s="657" t="s">
        <v>1625</v>
      </c>
      <c r="X284" s="657" t="s">
        <v>22</v>
      </c>
      <c r="Y284" s="1062" t="s">
        <v>312</v>
      </c>
      <c r="Z284" s="1061" t="s">
        <v>838</v>
      </c>
      <c r="AA284" s="1062" t="s">
        <v>838</v>
      </c>
    </row>
    <row r="285" spans="1:27" ht="25.5" x14ac:dyDescent="0.25">
      <c r="A285" s="274" t="s">
        <v>1131</v>
      </c>
      <c r="B285" s="274" t="s">
        <v>802</v>
      </c>
      <c r="C285" s="276">
        <v>2019</v>
      </c>
      <c r="D285" s="276" t="s">
        <v>811</v>
      </c>
      <c r="E285" s="276" t="s">
        <v>629</v>
      </c>
      <c r="F285" s="276" t="s">
        <v>629</v>
      </c>
      <c r="G285" s="1017" t="s">
        <v>630</v>
      </c>
      <c r="H285" s="370">
        <v>3000</v>
      </c>
      <c r="I285" s="551">
        <v>0</v>
      </c>
      <c r="J285" s="17">
        <v>0</v>
      </c>
      <c r="K285" s="450">
        <v>0</v>
      </c>
      <c r="L285" s="59">
        <v>0</v>
      </c>
      <c r="M285" s="249">
        <v>0</v>
      </c>
      <c r="N285" s="250">
        <f t="shared" si="14"/>
        <v>0</v>
      </c>
      <c r="O285" s="598">
        <v>0</v>
      </c>
      <c r="P285" s="278">
        <v>0</v>
      </c>
      <c r="Q285" s="538">
        <v>0</v>
      </c>
      <c r="R285" s="1363">
        <v>0</v>
      </c>
      <c r="S285" s="538">
        <v>0</v>
      </c>
      <c r="T285" s="369">
        <v>0</v>
      </c>
      <c r="U285" s="369">
        <v>3000</v>
      </c>
      <c r="V285" s="369">
        <v>0</v>
      </c>
      <c r="W285" s="276" t="s">
        <v>784</v>
      </c>
      <c r="X285" s="276" t="s">
        <v>22</v>
      </c>
      <c r="Y285" s="344" t="s">
        <v>1009</v>
      </c>
      <c r="Z285" s="375" t="s">
        <v>838</v>
      </c>
      <c r="AA285" s="344" t="s">
        <v>838</v>
      </c>
    </row>
    <row r="286" spans="1:27" ht="41.25" customHeight="1" x14ac:dyDescent="0.25">
      <c r="A286" s="274" t="s">
        <v>1132</v>
      </c>
      <c r="B286" s="274" t="s">
        <v>802</v>
      </c>
      <c r="C286" s="276">
        <v>2019</v>
      </c>
      <c r="D286" s="276" t="s">
        <v>811</v>
      </c>
      <c r="E286" s="276" t="s">
        <v>220</v>
      </c>
      <c r="F286" s="276" t="s">
        <v>220</v>
      </c>
      <c r="G286" s="1017" t="s">
        <v>631</v>
      </c>
      <c r="H286" s="370">
        <v>1600</v>
      </c>
      <c r="I286" s="551">
        <v>0</v>
      </c>
      <c r="J286" s="17">
        <v>0</v>
      </c>
      <c r="K286" s="450">
        <v>0</v>
      </c>
      <c r="L286" s="59">
        <v>0</v>
      </c>
      <c r="M286" s="249">
        <v>0</v>
      </c>
      <c r="N286" s="250">
        <f t="shared" si="14"/>
        <v>0</v>
      </c>
      <c r="O286" s="598">
        <v>0</v>
      </c>
      <c r="P286" s="278">
        <v>0</v>
      </c>
      <c r="Q286" s="538">
        <v>0</v>
      </c>
      <c r="R286" s="1363">
        <v>0</v>
      </c>
      <c r="S286" s="538">
        <v>0</v>
      </c>
      <c r="T286" s="369">
        <v>0</v>
      </c>
      <c r="U286" s="369">
        <v>0</v>
      </c>
      <c r="V286" s="369">
        <v>1600</v>
      </c>
      <c r="W286" s="276" t="s">
        <v>784</v>
      </c>
      <c r="X286" s="276" t="s">
        <v>22</v>
      </c>
      <c r="Y286" s="371" t="s">
        <v>856</v>
      </c>
      <c r="Z286" s="375" t="s">
        <v>838</v>
      </c>
      <c r="AA286" s="344" t="s">
        <v>838</v>
      </c>
    </row>
    <row r="287" spans="1:27" ht="51" x14ac:dyDescent="0.25">
      <c r="A287" s="274" t="s">
        <v>1133</v>
      </c>
      <c r="B287" s="274" t="s">
        <v>802</v>
      </c>
      <c r="C287" s="276">
        <v>2019</v>
      </c>
      <c r="D287" s="276" t="s">
        <v>811</v>
      </c>
      <c r="E287" s="276" t="s">
        <v>632</v>
      </c>
      <c r="F287" s="276" t="s">
        <v>632</v>
      </c>
      <c r="G287" s="1017" t="s">
        <v>633</v>
      </c>
      <c r="H287" s="370">
        <v>3145</v>
      </c>
      <c r="I287" s="551">
        <v>0</v>
      </c>
      <c r="J287" s="17">
        <v>0</v>
      </c>
      <c r="K287" s="450">
        <v>0</v>
      </c>
      <c r="L287" s="59">
        <v>0</v>
      </c>
      <c r="M287" s="249">
        <v>0</v>
      </c>
      <c r="N287" s="250">
        <f t="shared" si="14"/>
        <v>0</v>
      </c>
      <c r="O287" s="598">
        <v>0</v>
      </c>
      <c r="P287" s="278">
        <v>0</v>
      </c>
      <c r="Q287" s="538">
        <v>0</v>
      </c>
      <c r="R287" s="1363">
        <v>0</v>
      </c>
      <c r="S287" s="538">
        <v>0</v>
      </c>
      <c r="T287" s="406">
        <v>3145</v>
      </c>
      <c r="U287" s="369">
        <v>0</v>
      </c>
      <c r="V287" s="369">
        <v>0</v>
      </c>
      <c r="W287" s="276" t="s">
        <v>930</v>
      </c>
      <c r="X287" s="276" t="s">
        <v>22</v>
      </c>
      <c r="Y287" s="371" t="s">
        <v>27</v>
      </c>
      <c r="Z287" s="375" t="s">
        <v>838</v>
      </c>
      <c r="AA287" s="344" t="s">
        <v>838</v>
      </c>
    </row>
    <row r="288" spans="1:27" ht="30" x14ac:dyDescent="0.25">
      <c r="A288" s="68" t="s">
        <v>1134</v>
      </c>
      <c r="B288" s="68" t="s">
        <v>1484</v>
      </c>
      <c r="C288" s="5">
        <v>2019</v>
      </c>
      <c r="D288" s="5" t="s">
        <v>811</v>
      </c>
      <c r="E288" s="5" t="s">
        <v>634</v>
      </c>
      <c r="F288" s="5" t="s">
        <v>634</v>
      </c>
      <c r="G288" s="834" t="s">
        <v>635</v>
      </c>
      <c r="H288" s="746">
        <v>500</v>
      </c>
      <c r="I288" s="604">
        <v>0</v>
      </c>
      <c r="J288" s="17">
        <v>0</v>
      </c>
      <c r="K288" s="437">
        <v>500</v>
      </c>
      <c r="L288" s="59">
        <v>500</v>
      </c>
      <c r="M288" s="249">
        <v>0</v>
      </c>
      <c r="N288" s="250">
        <f t="shared" si="14"/>
        <v>500</v>
      </c>
      <c r="O288" s="36">
        <v>0</v>
      </c>
      <c r="P288" s="19">
        <v>0</v>
      </c>
      <c r="Q288" s="34">
        <v>0</v>
      </c>
      <c r="R288" s="1363">
        <v>0</v>
      </c>
      <c r="S288" s="538">
        <v>0</v>
      </c>
      <c r="T288" s="406">
        <v>0</v>
      </c>
      <c r="U288" s="406">
        <v>0</v>
      </c>
      <c r="V288" s="406">
        <v>0</v>
      </c>
      <c r="W288" s="5" t="s">
        <v>784</v>
      </c>
      <c r="X288" s="5" t="s">
        <v>22</v>
      </c>
      <c r="Y288" s="107" t="s">
        <v>312</v>
      </c>
      <c r="Z288" s="267" t="s">
        <v>838</v>
      </c>
      <c r="AA288" s="107" t="s">
        <v>838</v>
      </c>
    </row>
    <row r="289" spans="1:27" ht="30" x14ac:dyDescent="0.25">
      <c r="A289" s="274" t="s">
        <v>1135</v>
      </c>
      <c r="B289" s="274" t="s">
        <v>802</v>
      </c>
      <c r="C289" s="276">
        <v>2019</v>
      </c>
      <c r="D289" s="276" t="s">
        <v>811</v>
      </c>
      <c r="E289" s="276" t="s">
        <v>634</v>
      </c>
      <c r="F289" s="276" t="s">
        <v>634</v>
      </c>
      <c r="G289" s="1017" t="s">
        <v>636</v>
      </c>
      <c r="H289" s="370">
        <v>8750</v>
      </c>
      <c r="I289" s="551">
        <v>0</v>
      </c>
      <c r="J289" s="17">
        <v>0</v>
      </c>
      <c r="K289" s="450">
        <v>0</v>
      </c>
      <c r="L289" s="59">
        <v>0</v>
      </c>
      <c r="M289" s="249">
        <v>0</v>
      </c>
      <c r="N289" s="250">
        <f t="shared" si="14"/>
        <v>0</v>
      </c>
      <c r="O289" s="598">
        <v>0</v>
      </c>
      <c r="P289" s="278">
        <v>0</v>
      </c>
      <c r="Q289" s="538">
        <v>0</v>
      </c>
      <c r="R289" s="1363">
        <v>0</v>
      </c>
      <c r="S289" s="538">
        <v>0</v>
      </c>
      <c r="T289" s="369">
        <v>605</v>
      </c>
      <c r="U289" s="369">
        <v>0</v>
      </c>
      <c r="V289" s="369">
        <v>8145</v>
      </c>
      <c r="W289" s="276" t="s">
        <v>784</v>
      </c>
      <c r="X289" s="276" t="s">
        <v>22</v>
      </c>
      <c r="Y289" s="371" t="s">
        <v>894</v>
      </c>
      <c r="Z289" s="375" t="s">
        <v>838</v>
      </c>
      <c r="AA289" s="344" t="s">
        <v>838</v>
      </c>
    </row>
    <row r="290" spans="1:27" ht="25.5" x14ac:dyDescent="0.25">
      <c r="A290" s="274" t="s">
        <v>1136</v>
      </c>
      <c r="B290" s="274" t="s">
        <v>802</v>
      </c>
      <c r="C290" s="276">
        <v>2019</v>
      </c>
      <c r="D290" s="276" t="s">
        <v>811</v>
      </c>
      <c r="E290" s="276" t="s">
        <v>14</v>
      </c>
      <c r="F290" s="276" t="s">
        <v>257</v>
      </c>
      <c r="G290" s="1017" t="s">
        <v>714</v>
      </c>
      <c r="H290" s="370">
        <v>1100</v>
      </c>
      <c r="I290" s="551">
        <v>0</v>
      </c>
      <c r="J290" s="17">
        <v>0</v>
      </c>
      <c r="K290" s="450">
        <v>0</v>
      </c>
      <c r="L290" s="59">
        <v>0</v>
      </c>
      <c r="M290" s="249">
        <v>0</v>
      </c>
      <c r="N290" s="250">
        <f t="shared" si="14"/>
        <v>0</v>
      </c>
      <c r="O290" s="598">
        <v>0</v>
      </c>
      <c r="P290" s="278">
        <v>0</v>
      </c>
      <c r="Q290" s="538">
        <v>0</v>
      </c>
      <c r="R290" s="1363">
        <v>0</v>
      </c>
      <c r="S290" s="538">
        <v>0</v>
      </c>
      <c r="T290" s="369">
        <v>0</v>
      </c>
      <c r="U290" s="369">
        <v>1100</v>
      </c>
      <c r="V290" s="369">
        <v>0</v>
      </c>
      <c r="W290" s="276" t="s">
        <v>784</v>
      </c>
      <c r="X290" s="276" t="s">
        <v>22</v>
      </c>
      <c r="Y290" s="371" t="s">
        <v>731</v>
      </c>
      <c r="Z290" s="375" t="s">
        <v>838</v>
      </c>
      <c r="AA290" s="344" t="s">
        <v>838</v>
      </c>
    </row>
    <row r="291" spans="1:27" ht="25.5" x14ac:dyDescent="0.25">
      <c r="A291" s="274" t="s">
        <v>1137</v>
      </c>
      <c r="B291" s="274" t="s">
        <v>802</v>
      </c>
      <c r="C291" s="276">
        <v>2019</v>
      </c>
      <c r="D291" s="276" t="s">
        <v>811</v>
      </c>
      <c r="E291" s="276" t="s">
        <v>637</v>
      </c>
      <c r="F291" s="276" t="s">
        <v>637</v>
      </c>
      <c r="G291" s="1017" t="s">
        <v>638</v>
      </c>
      <c r="H291" s="370">
        <v>1200</v>
      </c>
      <c r="I291" s="551">
        <v>0</v>
      </c>
      <c r="J291" s="17">
        <v>0</v>
      </c>
      <c r="K291" s="450">
        <v>0</v>
      </c>
      <c r="L291" s="59">
        <v>0</v>
      </c>
      <c r="M291" s="249">
        <v>0</v>
      </c>
      <c r="N291" s="250">
        <f t="shared" si="14"/>
        <v>0</v>
      </c>
      <c r="O291" s="598">
        <v>0</v>
      </c>
      <c r="P291" s="278">
        <v>0</v>
      </c>
      <c r="Q291" s="538">
        <v>0</v>
      </c>
      <c r="R291" s="1363">
        <v>0</v>
      </c>
      <c r="S291" s="538">
        <v>0</v>
      </c>
      <c r="T291" s="369">
        <v>0</v>
      </c>
      <c r="U291" s="369">
        <v>1200</v>
      </c>
      <c r="V291" s="369">
        <v>0</v>
      </c>
      <c r="W291" s="276" t="s">
        <v>784</v>
      </c>
      <c r="X291" s="276" t="s">
        <v>22</v>
      </c>
      <c r="Y291" s="371" t="s">
        <v>894</v>
      </c>
      <c r="Z291" s="375" t="s">
        <v>838</v>
      </c>
      <c r="AA291" s="344" t="s">
        <v>838</v>
      </c>
    </row>
    <row r="292" spans="1:27" ht="38.25" x14ac:dyDescent="0.25">
      <c r="A292" s="274" t="s">
        <v>1138</v>
      </c>
      <c r="B292" s="274" t="s">
        <v>802</v>
      </c>
      <c r="C292" s="276">
        <v>2019</v>
      </c>
      <c r="D292" s="276" t="s">
        <v>811</v>
      </c>
      <c r="E292" s="276" t="s">
        <v>640</v>
      </c>
      <c r="F292" s="276" t="s">
        <v>640</v>
      </c>
      <c r="G292" s="1017" t="s">
        <v>641</v>
      </c>
      <c r="H292" s="370">
        <v>4847.75</v>
      </c>
      <c r="I292" s="551">
        <v>0</v>
      </c>
      <c r="J292" s="17">
        <v>0</v>
      </c>
      <c r="K292" s="450">
        <v>0</v>
      </c>
      <c r="L292" s="59">
        <v>0</v>
      </c>
      <c r="M292" s="249">
        <v>0</v>
      </c>
      <c r="N292" s="250">
        <f t="shared" si="14"/>
        <v>0</v>
      </c>
      <c r="O292" s="598">
        <v>0</v>
      </c>
      <c r="P292" s="278">
        <v>0</v>
      </c>
      <c r="Q292" s="538">
        <v>2073.79</v>
      </c>
      <c r="R292" s="1363">
        <v>0</v>
      </c>
      <c r="S292" s="538">
        <v>0</v>
      </c>
      <c r="T292" s="369">
        <v>0</v>
      </c>
      <c r="U292" s="369">
        <v>2773.96</v>
      </c>
      <c r="V292" s="369">
        <v>0</v>
      </c>
      <c r="W292" s="276" t="s">
        <v>933</v>
      </c>
      <c r="X292" s="276" t="s">
        <v>22</v>
      </c>
      <c r="Y292" s="344" t="s">
        <v>893</v>
      </c>
      <c r="Z292" s="375" t="s">
        <v>838</v>
      </c>
      <c r="AA292" s="344" t="s">
        <v>838</v>
      </c>
    </row>
    <row r="293" spans="1:27" ht="25.5" x14ac:dyDescent="0.25">
      <c r="A293" s="1306" t="s">
        <v>1139</v>
      </c>
      <c r="B293" s="1306" t="s">
        <v>802</v>
      </c>
      <c r="C293" s="657">
        <v>2019</v>
      </c>
      <c r="D293" s="657" t="s">
        <v>811</v>
      </c>
      <c r="E293" s="657" t="s">
        <v>642</v>
      </c>
      <c r="F293" s="657" t="s">
        <v>643</v>
      </c>
      <c r="G293" s="1869" t="s">
        <v>644</v>
      </c>
      <c r="H293" s="1868">
        <v>898.97</v>
      </c>
      <c r="I293" s="658">
        <v>0</v>
      </c>
      <c r="J293" s="813">
        <v>0</v>
      </c>
      <c r="K293" s="1050">
        <f>899-0.03</f>
        <v>898.97</v>
      </c>
      <c r="L293" s="1051">
        <v>0</v>
      </c>
      <c r="M293" s="1052">
        <f>899-0.03</f>
        <v>898.97</v>
      </c>
      <c r="N293" s="1053">
        <f t="shared" si="14"/>
        <v>898.97</v>
      </c>
      <c r="O293" s="1311">
        <v>0</v>
      </c>
      <c r="P293" s="1310">
        <v>0</v>
      </c>
      <c r="Q293" s="1245">
        <v>0</v>
      </c>
      <c r="R293" s="1364">
        <v>0</v>
      </c>
      <c r="S293" s="1245">
        <v>0</v>
      </c>
      <c r="T293" s="1760">
        <v>0</v>
      </c>
      <c r="U293" s="1760">
        <v>0</v>
      </c>
      <c r="V293" s="1760">
        <v>0</v>
      </c>
      <c r="W293" s="657" t="s">
        <v>1625</v>
      </c>
      <c r="X293" s="657" t="s">
        <v>22</v>
      </c>
      <c r="Y293" s="1062" t="s">
        <v>312</v>
      </c>
      <c r="Z293" s="1061" t="s">
        <v>838</v>
      </c>
      <c r="AA293" s="1062" t="s">
        <v>838</v>
      </c>
    </row>
    <row r="294" spans="1:27" ht="25.5" x14ac:dyDescent="0.25">
      <c r="A294" s="274" t="s">
        <v>1140</v>
      </c>
      <c r="B294" s="274" t="s">
        <v>802</v>
      </c>
      <c r="C294" s="276">
        <v>2019</v>
      </c>
      <c r="D294" s="276" t="s">
        <v>811</v>
      </c>
      <c r="E294" s="276" t="s">
        <v>14</v>
      </c>
      <c r="F294" s="276" t="s">
        <v>645</v>
      </c>
      <c r="G294" s="1017" t="s">
        <v>646</v>
      </c>
      <c r="H294" s="370">
        <v>18000</v>
      </c>
      <c r="I294" s="551">
        <v>0</v>
      </c>
      <c r="J294" s="17">
        <v>0</v>
      </c>
      <c r="K294" s="450">
        <v>0</v>
      </c>
      <c r="L294" s="59">
        <v>0</v>
      </c>
      <c r="M294" s="249">
        <v>0</v>
      </c>
      <c r="N294" s="250">
        <f t="shared" si="14"/>
        <v>0</v>
      </c>
      <c r="O294" s="598">
        <v>0</v>
      </c>
      <c r="P294" s="278">
        <v>0</v>
      </c>
      <c r="Q294" s="538">
        <v>0</v>
      </c>
      <c r="R294" s="1363">
        <v>0</v>
      </c>
      <c r="S294" s="538">
        <v>0</v>
      </c>
      <c r="T294" s="369">
        <v>0</v>
      </c>
      <c r="U294" s="369">
        <v>0</v>
      </c>
      <c r="V294" s="369">
        <v>18000</v>
      </c>
      <c r="W294" s="276" t="s">
        <v>784</v>
      </c>
      <c r="X294" s="276" t="s">
        <v>22</v>
      </c>
      <c r="Y294" s="344" t="s">
        <v>1002</v>
      </c>
      <c r="Z294" s="375" t="s">
        <v>838</v>
      </c>
      <c r="AA294" s="344" t="s">
        <v>838</v>
      </c>
    </row>
    <row r="295" spans="1:27" ht="25.5" x14ac:dyDescent="0.25">
      <c r="A295" s="274" t="s">
        <v>1141</v>
      </c>
      <c r="B295" s="274" t="s">
        <v>802</v>
      </c>
      <c r="C295" s="276">
        <v>2019</v>
      </c>
      <c r="D295" s="276" t="s">
        <v>811</v>
      </c>
      <c r="E295" s="276" t="s">
        <v>647</v>
      </c>
      <c r="F295" s="276" t="s">
        <v>647</v>
      </c>
      <c r="G295" s="1017" t="s">
        <v>648</v>
      </c>
      <c r="H295" s="370">
        <v>3000</v>
      </c>
      <c r="I295" s="551">
        <v>0</v>
      </c>
      <c r="J295" s="17">
        <v>0</v>
      </c>
      <c r="K295" s="450">
        <v>0</v>
      </c>
      <c r="L295" s="59">
        <v>0</v>
      </c>
      <c r="M295" s="249">
        <v>0</v>
      </c>
      <c r="N295" s="250">
        <f t="shared" si="14"/>
        <v>0</v>
      </c>
      <c r="O295" s="598">
        <v>0</v>
      </c>
      <c r="P295" s="278">
        <v>0</v>
      </c>
      <c r="Q295" s="538">
        <v>0</v>
      </c>
      <c r="R295" s="1363">
        <v>0</v>
      </c>
      <c r="S295" s="538">
        <v>0</v>
      </c>
      <c r="T295" s="369">
        <v>0</v>
      </c>
      <c r="U295" s="369">
        <v>3000</v>
      </c>
      <c r="V295" s="369">
        <v>0</v>
      </c>
      <c r="W295" s="276" t="s">
        <v>784</v>
      </c>
      <c r="X295" s="276" t="s">
        <v>22</v>
      </c>
      <c r="Y295" s="344" t="s">
        <v>1001</v>
      </c>
      <c r="Z295" s="375" t="s">
        <v>838</v>
      </c>
      <c r="AA295" s="344" t="s">
        <v>838</v>
      </c>
    </row>
    <row r="296" spans="1:27" ht="38.25" x14ac:dyDescent="0.25">
      <c r="A296" s="274" t="s">
        <v>1142</v>
      </c>
      <c r="B296" s="274" t="s">
        <v>802</v>
      </c>
      <c r="C296" s="276">
        <v>2019</v>
      </c>
      <c r="D296" s="276" t="s">
        <v>811</v>
      </c>
      <c r="E296" s="276" t="s">
        <v>14</v>
      </c>
      <c r="F296" s="276" t="s">
        <v>649</v>
      </c>
      <c r="G296" s="1017" t="s">
        <v>650</v>
      </c>
      <c r="H296" s="370">
        <v>10000</v>
      </c>
      <c r="I296" s="551">
        <v>0</v>
      </c>
      <c r="J296" s="17">
        <v>0</v>
      </c>
      <c r="K296" s="450">
        <v>0</v>
      </c>
      <c r="L296" s="59">
        <v>0</v>
      </c>
      <c r="M296" s="249">
        <v>0</v>
      </c>
      <c r="N296" s="250">
        <f t="shared" si="14"/>
        <v>0</v>
      </c>
      <c r="O296" s="598">
        <v>0</v>
      </c>
      <c r="P296" s="278">
        <v>0</v>
      </c>
      <c r="Q296" s="538">
        <v>0</v>
      </c>
      <c r="R296" s="1363">
        <v>0</v>
      </c>
      <c r="S296" s="538">
        <v>0</v>
      </c>
      <c r="T296" s="369">
        <v>0</v>
      </c>
      <c r="U296" s="369">
        <v>10000</v>
      </c>
      <c r="V296" s="369">
        <v>0</v>
      </c>
      <c r="W296" s="276" t="s">
        <v>784</v>
      </c>
      <c r="X296" s="276" t="s">
        <v>22</v>
      </c>
      <c r="Y296" s="344" t="s">
        <v>1001</v>
      </c>
      <c r="Z296" s="375" t="s">
        <v>838</v>
      </c>
      <c r="AA296" s="344" t="s">
        <v>838</v>
      </c>
    </row>
    <row r="297" spans="1:27" ht="38.25" x14ac:dyDescent="0.25">
      <c r="A297" s="274" t="s">
        <v>1143</v>
      </c>
      <c r="B297" s="274" t="s">
        <v>802</v>
      </c>
      <c r="C297" s="276">
        <v>2019</v>
      </c>
      <c r="D297" s="276" t="s">
        <v>811</v>
      </c>
      <c r="E297" s="276" t="s">
        <v>649</v>
      </c>
      <c r="F297" s="276" t="s">
        <v>649</v>
      </c>
      <c r="G297" s="1017" t="s">
        <v>651</v>
      </c>
      <c r="H297" s="370">
        <v>1000</v>
      </c>
      <c r="I297" s="551">
        <v>0</v>
      </c>
      <c r="J297" s="17">
        <v>0</v>
      </c>
      <c r="K297" s="450">
        <v>0</v>
      </c>
      <c r="L297" s="59">
        <v>0</v>
      </c>
      <c r="M297" s="249">
        <v>0</v>
      </c>
      <c r="N297" s="250">
        <f t="shared" si="14"/>
        <v>0</v>
      </c>
      <c r="O297" s="598">
        <v>0</v>
      </c>
      <c r="P297" s="278">
        <v>0</v>
      </c>
      <c r="Q297" s="538">
        <v>0</v>
      </c>
      <c r="R297" s="1363">
        <v>0</v>
      </c>
      <c r="S297" s="538">
        <v>0</v>
      </c>
      <c r="T297" s="369">
        <v>0</v>
      </c>
      <c r="U297" s="369">
        <v>1000</v>
      </c>
      <c r="V297" s="369">
        <v>0</v>
      </c>
      <c r="W297" s="276" t="s">
        <v>784</v>
      </c>
      <c r="X297" s="276" t="s">
        <v>22</v>
      </c>
      <c r="Y297" s="344" t="s">
        <v>1001</v>
      </c>
      <c r="Z297" s="375" t="s">
        <v>838</v>
      </c>
      <c r="AA297" s="344" t="s">
        <v>838</v>
      </c>
    </row>
    <row r="298" spans="1:27" ht="38.25" x14ac:dyDescent="0.25">
      <c r="A298" s="274" t="s">
        <v>1144</v>
      </c>
      <c r="B298" s="274" t="s">
        <v>802</v>
      </c>
      <c r="C298" s="276">
        <v>2019</v>
      </c>
      <c r="D298" s="276" t="s">
        <v>811</v>
      </c>
      <c r="E298" s="276" t="s">
        <v>652</v>
      </c>
      <c r="F298" s="276" t="s">
        <v>652</v>
      </c>
      <c r="G298" s="1017" t="s">
        <v>653</v>
      </c>
      <c r="H298" s="370">
        <v>1500</v>
      </c>
      <c r="I298" s="551">
        <v>0</v>
      </c>
      <c r="J298" s="17">
        <v>0</v>
      </c>
      <c r="K298" s="450">
        <v>0</v>
      </c>
      <c r="L298" s="59">
        <v>0</v>
      </c>
      <c r="M298" s="249">
        <v>0</v>
      </c>
      <c r="N298" s="250">
        <f t="shared" si="14"/>
        <v>0</v>
      </c>
      <c r="O298" s="598">
        <v>0</v>
      </c>
      <c r="P298" s="278">
        <v>0</v>
      </c>
      <c r="Q298" s="538">
        <v>0</v>
      </c>
      <c r="R298" s="1363">
        <v>0</v>
      </c>
      <c r="S298" s="538">
        <v>0</v>
      </c>
      <c r="T298" s="369">
        <v>0</v>
      </c>
      <c r="U298" s="369">
        <v>1500</v>
      </c>
      <c r="V298" s="369">
        <v>0</v>
      </c>
      <c r="W298" s="276" t="s">
        <v>784</v>
      </c>
      <c r="X298" s="276" t="s">
        <v>22</v>
      </c>
      <c r="Y298" s="344" t="s">
        <v>1001</v>
      </c>
      <c r="Z298" s="375" t="s">
        <v>838</v>
      </c>
      <c r="AA298" s="344" t="s">
        <v>838</v>
      </c>
    </row>
    <row r="299" spans="1:27" ht="30" x14ac:dyDescent="0.25">
      <c r="A299" s="274" t="s">
        <v>1145</v>
      </c>
      <c r="B299" s="274" t="s">
        <v>802</v>
      </c>
      <c r="C299" s="276">
        <v>2019</v>
      </c>
      <c r="D299" s="276" t="s">
        <v>811</v>
      </c>
      <c r="E299" s="276" t="s">
        <v>270</v>
      </c>
      <c r="F299" s="276" t="s">
        <v>270</v>
      </c>
      <c r="G299" s="1017" t="s">
        <v>654</v>
      </c>
      <c r="H299" s="370">
        <v>1000</v>
      </c>
      <c r="I299" s="551">
        <v>0</v>
      </c>
      <c r="J299" s="17">
        <v>0</v>
      </c>
      <c r="K299" s="450">
        <v>0</v>
      </c>
      <c r="L299" s="59">
        <v>0</v>
      </c>
      <c r="M299" s="249">
        <v>0</v>
      </c>
      <c r="N299" s="250">
        <f t="shared" si="14"/>
        <v>0</v>
      </c>
      <c r="O299" s="598">
        <v>0</v>
      </c>
      <c r="P299" s="278">
        <v>0</v>
      </c>
      <c r="Q299" s="538">
        <v>0</v>
      </c>
      <c r="R299" s="1363">
        <v>0</v>
      </c>
      <c r="S299" s="538">
        <v>0</v>
      </c>
      <c r="T299" s="369">
        <v>0</v>
      </c>
      <c r="U299" s="369">
        <v>1000</v>
      </c>
      <c r="V299" s="369">
        <v>0</v>
      </c>
      <c r="W299" s="276" t="s">
        <v>784</v>
      </c>
      <c r="X299" s="276" t="s">
        <v>22</v>
      </c>
      <c r="Y299" s="344" t="s">
        <v>1001</v>
      </c>
      <c r="Z299" s="375" t="s">
        <v>838</v>
      </c>
      <c r="AA299" s="344" t="s">
        <v>838</v>
      </c>
    </row>
    <row r="300" spans="1:27" ht="25.5" x14ac:dyDescent="0.25">
      <c r="A300" s="274" t="s">
        <v>1146</v>
      </c>
      <c r="B300" s="274" t="s">
        <v>802</v>
      </c>
      <c r="C300" s="276">
        <v>2019</v>
      </c>
      <c r="D300" s="276" t="s">
        <v>811</v>
      </c>
      <c r="E300" s="276" t="s">
        <v>14</v>
      </c>
      <c r="F300" s="276" t="s">
        <v>655</v>
      </c>
      <c r="G300" s="1017" t="s">
        <v>568</v>
      </c>
      <c r="H300" s="370">
        <v>27969.15</v>
      </c>
      <c r="I300" s="551">
        <v>0</v>
      </c>
      <c r="J300" s="17">
        <v>0</v>
      </c>
      <c r="K300" s="450">
        <v>0</v>
      </c>
      <c r="L300" s="59">
        <v>0</v>
      </c>
      <c r="M300" s="249">
        <v>0</v>
      </c>
      <c r="N300" s="250">
        <f t="shared" si="14"/>
        <v>0</v>
      </c>
      <c r="O300" s="598">
        <v>0</v>
      </c>
      <c r="P300" s="278">
        <v>0</v>
      </c>
      <c r="Q300" s="538">
        <v>0</v>
      </c>
      <c r="R300" s="1363">
        <v>0</v>
      </c>
      <c r="S300" s="538">
        <v>0</v>
      </c>
      <c r="T300" s="369">
        <v>0</v>
      </c>
      <c r="U300" s="369">
        <v>27969.15</v>
      </c>
      <c r="V300" s="369">
        <v>0</v>
      </c>
      <c r="W300" s="276" t="s">
        <v>784</v>
      </c>
      <c r="X300" s="276" t="s">
        <v>22</v>
      </c>
      <c r="Y300" s="344" t="s">
        <v>1001</v>
      </c>
      <c r="Z300" s="375" t="s">
        <v>838</v>
      </c>
      <c r="AA300" s="344" t="s">
        <v>838</v>
      </c>
    </row>
    <row r="301" spans="1:27" ht="30" x14ac:dyDescent="0.25">
      <c r="A301" s="274" t="s">
        <v>1147</v>
      </c>
      <c r="B301" s="274" t="s">
        <v>802</v>
      </c>
      <c r="C301" s="276">
        <v>2019</v>
      </c>
      <c r="D301" s="276" t="s">
        <v>811</v>
      </c>
      <c r="E301" s="276" t="s">
        <v>292</v>
      </c>
      <c r="F301" s="276" t="s">
        <v>292</v>
      </c>
      <c r="G301" s="1017" t="s">
        <v>656</v>
      </c>
      <c r="H301" s="370">
        <v>424</v>
      </c>
      <c r="I301" s="551">
        <v>0</v>
      </c>
      <c r="J301" s="17">
        <v>0</v>
      </c>
      <c r="K301" s="450">
        <v>0</v>
      </c>
      <c r="L301" s="59">
        <v>0</v>
      </c>
      <c r="M301" s="249">
        <v>0</v>
      </c>
      <c r="N301" s="250">
        <f t="shared" si="14"/>
        <v>0</v>
      </c>
      <c r="O301" s="598">
        <v>0</v>
      </c>
      <c r="P301" s="278">
        <v>0</v>
      </c>
      <c r="Q301" s="538">
        <v>100</v>
      </c>
      <c r="R301" s="1363">
        <v>0</v>
      </c>
      <c r="S301" s="538">
        <v>0</v>
      </c>
      <c r="T301" s="1373">
        <v>324</v>
      </c>
      <c r="U301" s="369">
        <v>0</v>
      </c>
      <c r="V301" s="369">
        <v>0</v>
      </c>
      <c r="W301" s="276" t="s">
        <v>926</v>
      </c>
      <c r="X301" s="276" t="s">
        <v>22</v>
      </c>
      <c r="Y301" s="344" t="s">
        <v>1001</v>
      </c>
      <c r="Z301" s="375" t="s">
        <v>838</v>
      </c>
      <c r="AA301" s="344" t="s">
        <v>838</v>
      </c>
    </row>
    <row r="302" spans="1:27" ht="26.25" thickBot="1" x14ac:dyDescent="0.3">
      <c r="A302" s="292" t="s">
        <v>1148</v>
      </c>
      <c r="B302" s="292" t="s">
        <v>802</v>
      </c>
      <c r="C302" s="288">
        <v>2019</v>
      </c>
      <c r="D302" s="288" t="s">
        <v>811</v>
      </c>
      <c r="E302" s="288" t="s">
        <v>239</v>
      </c>
      <c r="F302" s="288" t="s">
        <v>239</v>
      </c>
      <c r="G302" s="1297" t="s">
        <v>657</v>
      </c>
      <c r="H302" s="372">
        <v>4500</v>
      </c>
      <c r="I302" s="643">
        <v>0</v>
      </c>
      <c r="J302" s="48">
        <v>0</v>
      </c>
      <c r="K302" s="452">
        <v>0</v>
      </c>
      <c r="L302" s="451">
        <v>0</v>
      </c>
      <c r="M302" s="258">
        <v>0</v>
      </c>
      <c r="N302" s="255">
        <f t="shared" si="14"/>
        <v>0</v>
      </c>
      <c r="O302" s="602">
        <v>0</v>
      </c>
      <c r="P302" s="294">
        <v>0</v>
      </c>
      <c r="Q302" s="618">
        <v>0</v>
      </c>
      <c r="R302" s="1366">
        <v>0</v>
      </c>
      <c r="S302" s="618">
        <v>0</v>
      </c>
      <c r="T302" s="373">
        <v>0</v>
      </c>
      <c r="U302" s="373">
        <v>4500</v>
      </c>
      <c r="V302" s="373">
        <v>0</v>
      </c>
      <c r="W302" s="288" t="s">
        <v>784</v>
      </c>
      <c r="X302" s="288" t="s">
        <v>22</v>
      </c>
      <c r="Y302" s="364" t="s">
        <v>1001</v>
      </c>
      <c r="Z302" s="377" t="s">
        <v>838</v>
      </c>
      <c r="AA302" s="364" t="s">
        <v>838</v>
      </c>
    </row>
    <row r="303" spans="1:27" ht="38.25" x14ac:dyDescent="0.25">
      <c r="A303" s="341" t="s">
        <v>1149</v>
      </c>
      <c r="B303" s="341" t="s">
        <v>802</v>
      </c>
      <c r="C303" s="271">
        <v>2019</v>
      </c>
      <c r="D303" s="271" t="s">
        <v>936</v>
      </c>
      <c r="E303" s="271" t="s">
        <v>273</v>
      </c>
      <c r="F303" s="273" t="s">
        <v>295</v>
      </c>
      <c r="G303" s="1299" t="s">
        <v>657</v>
      </c>
      <c r="H303" s="547">
        <v>6000</v>
      </c>
      <c r="I303" s="590">
        <v>0</v>
      </c>
      <c r="J303" s="1">
        <v>0</v>
      </c>
      <c r="K303" s="449">
        <v>0</v>
      </c>
      <c r="L303" s="381">
        <v>0</v>
      </c>
      <c r="M303" s="259">
        <v>0</v>
      </c>
      <c r="N303" s="256">
        <f t="shared" si="14"/>
        <v>0</v>
      </c>
      <c r="O303" s="597">
        <v>0</v>
      </c>
      <c r="P303" s="272">
        <v>0</v>
      </c>
      <c r="Q303" s="619">
        <v>0</v>
      </c>
      <c r="R303" s="1368">
        <v>0</v>
      </c>
      <c r="S303" s="619">
        <v>0</v>
      </c>
      <c r="T303" s="425">
        <v>0</v>
      </c>
      <c r="U303" s="425">
        <v>0</v>
      </c>
      <c r="V303" s="548">
        <v>6000</v>
      </c>
      <c r="W303" s="273" t="s">
        <v>784</v>
      </c>
      <c r="X303" s="271" t="s">
        <v>22</v>
      </c>
      <c r="Y303" s="344" t="s">
        <v>893</v>
      </c>
      <c r="Z303" s="376" t="s">
        <v>838</v>
      </c>
      <c r="AA303" s="343" t="s">
        <v>838</v>
      </c>
    </row>
    <row r="304" spans="1:27" ht="38.25" x14ac:dyDescent="0.25">
      <c r="A304" s="341" t="s">
        <v>1150</v>
      </c>
      <c r="B304" s="341" t="s">
        <v>802</v>
      </c>
      <c r="C304" s="271">
        <v>2019</v>
      </c>
      <c r="D304" s="276" t="s">
        <v>936</v>
      </c>
      <c r="E304" s="276" t="s">
        <v>898</v>
      </c>
      <c r="F304" s="280" t="s">
        <v>898</v>
      </c>
      <c r="G304" s="1284" t="s">
        <v>657</v>
      </c>
      <c r="H304" s="370">
        <v>6000</v>
      </c>
      <c r="I304" s="551">
        <v>0</v>
      </c>
      <c r="J304" s="17">
        <v>0</v>
      </c>
      <c r="K304" s="450">
        <v>0</v>
      </c>
      <c r="L304" s="59">
        <v>0</v>
      </c>
      <c r="M304" s="249">
        <v>0</v>
      </c>
      <c r="N304" s="250">
        <f t="shared" si="14"/>
        <v>0</v>
      </c>
      <c r="O304" s="598">
        <v>0</v>
      </c>
      <c r="P304" s="278">
        <v>0</v>
      </c>
      <c r="Q304" s="538">
        <v>0</v>
      </c>
      <c r="R304" s="1363">
        <v>0</v>
      </c>
      <c r="S304" s="538">
        <v>0</v>
      </c>
      <c r="T304" s="369">
        <v>0</v>
      </c>
      <c r="U304" s="369">
        <v>0</v>
      </c>
      <c r="V304" s="549">
        <v>6000</v>
      </c>
      <c r="W304" s="280" t="s">
        <v>784</v>
      </c>
      <c r="X304" s="276" t="s">
        <v>22</v>
      </c>
      <c r="Y304" s="344" t="s">
        <v>893</v>
      </c>
      <c r="Z304" s="375" t="s">
        <v>838</v>
      </c>
      <c r="AA304" s="344" t="s">
        <v>838</v>
      </c>
    </row>
    <row r="305" spans="1:27" ht="39" thickBot="1" x14ac:dyDescent="0.3">
      <c r="A305" s="292" t="s">
        <v>1049</v>
      </c>
      <c r="B305" s="292" t="s">
        <v>802</v>
      </c>
      <c r="C305" s="288">
        <v>2019</v>
      </c>
      <c r="D305" s="288" t="s">
        <v>936</v>
      </c>
      <c r="E305" s="288" t="s">
        <v>14</v>
      </c>
      <c r="F305" s="295" t="s">
        <v>899</v>
      </c>
      <c r="G305" s="1300" t="s">
        <v>900</v>
      </c>
      <c r="H305" s="372">
        <v>50000</v>
      </c>
      <c r="I305" s="643">
        <v>0</v>
      </c>
      <c r="J305" s="48">
        <v>0</v>
      </c>
      <c r="K305" s="631">
        <v>0</v>
      </c>
      <c r="L305" s="451">
        <v>0</v>
      </c>
      <c r="M305" s="258">
        <v>0</v>
      </c>
      <c r="N305" s="255">
        <f t="shared" ref="N305:N318" si="15">L305+M305</f>
        <v>0</v>
      </c>
      <c r="O305" s="602">
        <v>0</v>
      </c>
      <c r="P305" s="294">
        <v>0</v>
      </c>
      <c r="Q305" s="618">
        <v>0</v>
      </c>
      <c r="R305" s="1366">
        <v>0</v>
      </c>
      <c r="S305" s="618">
        <v>0</v>
      </c>
      <c r="T305" s="373">
        <v>1600</v>
      </c>
      <c r="U305" s="373">
        <v>0</v>
      </c>
      <c r="V305" s="644">
        <v>48400</v>
      </c>
      <c r="W305" s="295" t="s">
        <v>784</v>
      </c>
      <c r="X305" s="288" t="s">
        <v>22</v>
      </c>
      <c r="Y305" s="364" t="s">
        <v>893</v>
      </c>
      <c r="Z305" s="377" t="s">
        <v>838</v>
      </c>
      <c r="AA305" s="364" t="s">
        <v>838</v>
      </c>
    </row>
    <row r="306" spans="1:27" ht="38.25" x14ac:dyDescent="0.25">
      <c r="A306" s="115" t="s">
        <v>1157</v>
      </c>
      <c r="B306" s="115" t="s">
        <v>802</v>
      </c>
      <c r="C306" s="57">
        <v>2019</v>
      </c>
      <c r="D306" s="4" t="s">
        <v>1256</v>
      </c>
      <c r="E306" s="57" t="s">
        <v>1158</v>
      </c>
      <c r="F306" s="136" t="s">
        <v>1158</v>
      </c>
      <c r="G306" s="1301" t="s">
        <v>1159</v>
      </c>
      <c r="H306" s="744">
        <v>4208</v>
      </c>
      <c r="I306" s="606">
        <v>0</v>
      </c>
      <c r="J306" s="1">
        <v>0</v>
      </c>
      <c r="K306" s="728">
        <v>0</v>
      </c>
      <c r="L306" s="730">
        <v>0</v>
      </c>
      <c r="M306" s="247">
        <v>0</v>
      </c>
      <c r="N306" s="248">
        <f t="shared" si="15"/>
        <v>0</v>
      </c>
      <c r="O306" s="54">
        <v>0</v>
      </c>
      <c r="P306" s="15">
        <v>0</v>
      </c>
      <c r="Q306" s="622">
        <v>0</v>
      </c>
      <c r="R306" s="446">
        <v>0</v>
      </c>
      <c r="S306" s="622">
        <v>0</v>
      </c>
      <c r="T306" s="1939">
        <v>4208</v>
      </c>
      <c r="U306" s="1302">
        <v>0</v>
      </c>
      <c r="V306" s="745">
        <v>0</v>
      </c>
      <c r="W306" s="136" t="s">
        <v>1160</v>
      </c>
      <c r="X306" s="57" t="s">
        <v>22</v>
      </c>
      <c r="Y306" s="110" t="s">
        <v>893</v>
      </c>
      <c r="Z306" s="270" t="s">
        <v>838</v>
      </c>
      <c r="AA306" s="110" t="s">
        <v>838</v>
      </c>
    </row>
    <row r="307" spans="1:27" ht="25.5" x14ac:dyDescent="0.25">
      <c r="A307" s="68" t="s">
        <v>1161</v>
      </c>
      <c r="B307" s="68" t="s">
        <v>1485</v>
      </c>
      <c r="C307" s="5">
        <v>2019</v>
      </c>
      <c r="D307" s="4" t="s">
        <v>1256</v>
      </c>
      <c r="E307" s="5" t="s">
        <v>1162</v>
      </c>
      <c r="F307" s="55" t="s">
        <v>1162</v>
      </c>
      <c r="G307" s="958" t="s">
        <v>1163</v>
      </c>
      <c r="H307" s="746">
        <v>500</v>
      </c>
      <c r="I307" s="604">
        <v>0</v>
      </c>
      <c r="J307" s="17">
        <v>0</v>
      </c>
      <c r="K307" s="186">
        <v>300</v>
      </c>
      <c r="L307" s="718">
        <v>300</v>
      </c>
      <c r="M307" s="249">
        <v>0</v>
      </c>
      <c r="N307" s="250">
        <f t="shared" si="15"/>
        <v>300</v>
      </c>
      <c r="O307" s="36">
        <v>0</v>
      </c>
      <c r="P307" s="19">
        <v>0</v>
      </c>
      <c r="Q307" s="34">
        <v>200</v>
      </c>
      <c r="R307" s="793">
        <v>0</v>
      </c>
      <c r="S307" s="324">
        <v>0</v>
      </c>
      <c r="T307" s="406">
        <v>0</v>
      </c>
      <c r="U307" s="406">
        <v>0</v>
      </c>
      <c r="V307" s="427">
        <v>0</v>
      </c>
      <c r="W307" s="55" t="s">
        <v>1183</v>
      </c>
      <c r="X307" s="4" t="s">
        <v>22</v>
      </c>
      <c r="Y307" s="107" t="s">
        <v>312</v>
      </c>
      <c r="Z307" s="267" t="s">
        <v>838</v>
      </c>
      <c r="AA307" s="107" t="s">
        <v>838</v>
      </c>
    </row>
    <row r="308" spans="1:27" ht="25.5" x14ac:dyDescent="0.25">
      <c r="A308" s="68" t="s">
        <v>1164</v>
      </c>
      <c r="B308" s="68" t="s">
        <v>1486</v>
      </c>
      <c r="C308" s="5">
        <v>2019</v>
      </c>
      <c r="D308" s="4" t="s">
        <v>1256</v>
      </c>
      <c r="E308" s="5" t="s">
        <v>1165</v>
      </c>
      <c r="F308" s="5" t="s">
        <v>1165</v>
      </c>
      <c r="G308" s="681" t="s">
        <v>1166</v>
      </c>
      <c r="H308" s="746">
        <v>650</v>
      </c>
      <c r="I308" s="604">
        <v>0</v>
      </c>
      <c r="J308" s="17">
        <v>0</v>
      </c>
      <c r="K308" s="186">
        <v>350</v>
      </c>
      <c r="L308" s="718">
        <v>350</v>
      </c>
      <c r="M308" s="249">
        <v>0</v>
      </c>
      <c r="N308" s="250">
        <f t="shared" si="15"/>
        <v>350</v>
      </c>
      <c r="O308" s="36">
        <v>0</v>
      </c>
      <c r="P308" s="19">
        <v>0</v>
      </c>
      <c r="Q308" s="34">
        <v>300</v>
      </c>
      <c r="R308" s="793">
        <v>0</v>
      </c>
      <c r="S308" s="324">
        <v>0</v>
      </c>
      <c r="T308" s="406">
        <v>0</v>
      </c>
      <c r="U308" s="406">
        <v>0</v>
      </c>
      <c r="V308" s="427">
        <v>0</v>
      </c>
      <c r="W308" s="55" t="s">
        <v>784</v>
      </c>
      <c r="X308" s="5" t="s">
        <v>16</v>
      </c>
      <c r="Y308" s="107" t="s">
        <v>312</v>
      </c>
      <c r="Z308" s="266" t="s">
        <v>838</v>
      </c>
      <c r="AA308" s="109" t="s">
        <v>838</v>
      </c>
    </row>
    <row r="309" spans="1:27" ht="25.5" x14ac:dyDescent="0.25">
      <c r="A309" s="68" t="s">
        <v>1167</v>
      </c>
      <c r="B309" s="68" t="s">
        <v>802</v>
      </c>
      <c r="C309" s="5">
        <v>2019</v>
      </c>
      <c r="D309" s="4" t="s">
        <v>1256</v>
      </c>
      <c r="E309" s="4" t="s">
        <v>14</v>
      </c>
      <c r="F309" s="124" t="s">
        <v>1168</v>
      </c>
      <c r="G309" s="1303" t="s">
        <v>1169</v>
      </c>
      <c r="H309" s="747">
        <v>1918.9469999999999</v>
      </c>
      <c r="I309" s="606">
        <v>0</v>
      </c>
      <c r="J309" s="17">
        <v>0</v>
      </c>
      <c r="K309" s="185">
        <v>0</v>
      </c>
      <c r="L309" s="720">
        <v>0</v>
      </c>
      <c r="M309" s="259">
        <v>0</v>
      </c>
      <c r="N309" s="250">
        <f t="shared" si="15"/>
        <v>0</v>
      </c>
      <c r="O309" s="41">
        <v>0</v>
      </c>
      <c r="P309" s="3">
        <v>0</v>
      </c>
      <c r="Q309" s="324">
        <v>0</v>
      </c>
      <c r="R309" s="793">
        <v>0</v>
      </c>
      <c r="S309" s="324">
        <v>0</v>
      </c>
      <c r="T309" s="749">
        <v>1918.9469999999999</v>
      </c>
      <c r="U309" s="749">
        <v>0</v>
      </c>
      <c r="V309" s="750">
        <v>0</v>
      </c>
      <c r="W309" s="124" t="s">
        <v>784</v>
      </c>
      <c r="X309" s="4" t="s">
        <v>22</v>
      </c>
      <c r="Y309" s="109" t="s">
        <v>894</v>
      </c>
      <c r="Z309" s="267" t="s">
        <v>838</v>
      </c>
      <c r="AA309" s="107" t="s">
        <v>838</v>
      </c>
    </row>
    <row r="310" spans="1:27" ht="25.5" x14ac:dyDescent="0.25">
      <c r="A310" s="65" t="s">
        <v>1170</v>
      </c>
      <c r="B310" s="65" t="s">
        <v>1487</v>
      </c>
      <c r="C310" s="4">
        <v>2019</v>
      </c>
      <c r="D310" s="4" t="s">
        <v>1256</v>
      </c>
      <c r="E310" s="4" t="s">
        <v>295</v>
      </c>
      <c r="F310" s="124" t="s">
        <v>295</v>
      </c>
      <c r="G310" s="1303" t="s">
        <v>1171</v>
      </c>
      <c r="H310" s="747">
        <v>480</v>
      </c>
      <c r="I310" s="606">
        <v>0</v>
      </c>
      <c r="J310" s="17">
        <v>0</v>
      </c>
      <c r="K310" s="185">
        <v>480</v>
      </c>
      <c r="L310" s="720">
        <v>480</v>
      </c>
      <c r="M310" s="259">
        <v>0</v>
      </c>
      <c r="N310" s="250">
        <f t="shared" si="15"/>
        <v>480</v>
      </c>
      <c r="O310" s="41">
        <v>0</v>
      </c>
      <c r="P310" s="3">
        <v>0</v>
      </c>
      <c r="Q310" s="324">
        <v>0</v>
      </c>
      <c r="R310" s="793">
        <v>0</v>
      </c>
      <c r="S310" s="324">
        <v>0</v>
      </c>
      <c r="T310" s="749">
        <v>0</v>
      </c>
      <c r="U310" s="749">
        <v>0</v>
      </c>
      <c r="V310" s="750">
        <v>0</v>
      </c>
      <c r="W310" s="124" t="s">
        <v>784</v>
      </c>
      <c r="X310" s="4" t="s">
        <v>22</v>
      </c>
      <c r="Y310" s="109" t="s">
        <v>312</v>
      </c>
      <c r="Z310" s="267" t="s">
        <v>838</v>
      </c>
      <c r="AA310" s="107" t="s">
        <v>838</v>
      </c>
    </row>
    <row r="311" spans="1:27" ht="25.5" x14ac:dyDescent="0.25">
      <c r="A311" s="65" t="s">
        <v>1228</v>
      </c>
      <c r="B311" s="65" t="s">
        <v>1488</v>
      </c>
      <c r="C311" s="4">
        <v>2019</v>
      </c>
      <c r="D311" s="4" t="s">
        <v>1256</v>
      </c>
      <c r="E311" s="4" t="s">
        <v>898</v>
      </c>
      <c r="F311" s="124" t="s">
        <v>898</v>
      </c>
      <c r="G311" s="1303" t="s">
        <v>1172</v>
      </c>
      <c r="H311" s="747">
        <v>300</v>
      </c>
      <c r="I311" s="606">
        <v>0</v>
      </c>
      <c r="J311" s="17">
        <v>0</v>
      </c>
      <c r="K311" s="185">
        <v>300</v>
      </c>
      <c r="L311" s="720">
        <v>300</v>
      </c>
      <c r="M311" s="259">
        <v>0</v>
      </c>
      <c r="N311" s="250">
        <f t="shared" si="15"/>
        <v>300</v>
      </c>
      <c r="O311" s="41">
        <v>0</v>
      </c>
      <c r="P311" s="3">
        <v>0</v>
      </c>
      <c r="Q311" s="324">
        <v>0</v>
      </c>
      <c r="R311" s="793">
        <v>0</v>
      </c>
      <c r="S311" s="324">
        <v>0</v>
      </c>
      <c r="T311" s="749">
        <v>0</v>
      </c>
      <c r="U311" s="749">
        <v>0</v>
      </c>
      <c r="V311" s="750">
        <v>0</v>
      </c>
      <c r="W311" s="124" t="s">
        <v>784</v>
      </c>
      <c r="X311" s="4" t="s">
        <v>22</v>
      </c>
      <c r="Y311" s="109" t="s">
        <v>312</v>
      </c>
      <c r="Z311" s="267" t="s">
        <v>838</v>
      </c>
      <c r="AA311" s="107" t="s">
        <v>838</v>
      </c>
    </row>
    <row r="312" spans="1:27" ht="38.25" x14ac:dyDescent="0.25">
      <c r="A312" s="65" t="s">
        <v>1229</v>
      </c>
      <c r="B312" s="65" t="s">
        <v>802</v>
      </c>
      <c r="C312" s="4">
        <v>2019</v>
      </c>
      <c r="D312" s="4" t="s">
        <v>1256</v>
      </c>
      <c r="E312" s="4" t="s">
        <v>1173</v>
      </c>
      <c r="F312" s="4" t="s">
        <v>1173</v>
      </c>
      <c r="G312" s="1303" t="s">
        <v>1174</v>
      </c>
      <c r="H312" s="747">
        <v>3026</v>
      </c>
      <c r="I312" s="606">
        <v>0</v>
      </c>
      <c r="J312" s="17">
        <v>0</v>
      </c>
      <c r="K312" s="185">
        <v>0</v>
      </c>
      <c r="L312" s="720">
        <v>0</v>
      </c>
      <c r="M312" s="259">
        <v>0</v>
      </c>
      <c r="N312" s="250">
        <f t="shared" si="15"/>
        <v>0</v>
      </c>
      <c r="O312" s="41">
        <v>0</v>
      </c>
      <c r="P312" s="3">
        <v>0</v>
      </c>
      <c r="Q312" s="324">
        <v>0</v>
      </c>
      <c r="R312" s="793">
        <v>0</v>
      </c>
      <c r="S312" s="324">
        <v>0</v>
      </c>
      <c r="T312" s="749">
        <v>3026</v>
      </c>
      <c r="U312" s="749">
        <v>0</v>
      </c>
      <c r="V312" s="750">
        <v>0</v>
      </c>
      <c r="W312" s="124" t="s">
        <v>784</v>
      </c>
      <c r="X312" s="4" t="s">
        <v>22</v>
      </c>
      <c r="Y312" s="109" t="s">
        <v>894</v>
      </c>
      <c r="Z312" s="267" t="s">
        <v>838</v>
      </c>
      <c r="AA312" s="107" t="s">
        <v>838</v>
      </c>
    </row>
    <row r="313" spans="1:27" s="777" customFormat="1" ht="26.25" thickBot="1" x14ac:dyDescent="0.3">
      <c r="A313" s="1386" t="s">
        <v>1230</v>
      </c>
      <c r="B313" s="1386" t="s">
        <v>802</v>
      </c>
      <c r="C313" s="1398">
        <v>2019</v>
      </c>
      <c r="D313" s="1398" t="s">
        <v>1256</v>
      </c>
      <c r="E313" s="1398" t="s">
        <v>295</v>
      </c>
      <c r="F313" s="1387" t="s">
        <v>295</v>
      </c>
      <c r="G313" s="1388" t="s">
        <v>1520</v>
      </c>
      <c r="H313" s="1389">
        <v>540</v>
      </c>
      <c r="I313" s="1390">
        <v>0</v>
      </c>
      <c r="J313" s="1916">
        <v>0</v>
      </c>
      <c r="K313" s="1392">
        <v>540</v>
      </c>
      <c r="L313" s="1393">
        <v>0</v>
      </c>
      <c r="M313" s="1391">
        <v>540</v>
      </c>
      <c r="N313" s="1407">
        <f t="shared" si="15"/>
        <v>540</v>
      </c>
      <c r="O313" s="1408">
        <v>0</v>
      </c>
      <c r="P313" s="1393">
        <v>0</v>
      </c>
      <c r="Q313" s="1394">
        <v>0</v>
      </c>
      <c r="R313" s="1395">
        <v>0</v>
      </c>
      <c r="S313" s="1394">
        <v>0</v>
      </c>
      <c r="T313" s="1396">
        <v>0</v>
      </c>
      <c r="U313" s="1396">
        <v>0</v>
      </c>
      <c r="V313" s="1397">
        <v>0</v>
      </c>
      <c r="W313" s="1387" t="s">
        <v>1521</v>
      </c>
      <c r="X313" s="1398" t="s">
        <v>22</v>
      </c>
      <c r="Y313" s="1399" t="s">
        <v>312</v>
      </c>
      <c r="Z313" s="1400" t="s">
        <v>838</v>
      </c>
      <c r="AA313" s="1399" t="s">
        <v>838</v>
      </c>
    </row>
    <row r="314" spans="1:27" ht="25.5" x14ac:dyDescent="0.25">
      <c r="A314" s="1964" t="s">
        <v>1489</v>
      </c>
      <c r="B314" s="913" t="s">
        <v>802</v>
      </c>
      <c r="C314" s="659">
        <v>2019</v>
      </c>
      <c r="D314" s="659" t="s">
        <v>784</v>
      </c>
      <c r="E314" s="915" t="s">
        <v>295</v>
      </c>
      <c r="F314" s="645" t="s">
        <v>295</v>
      </c>
      <c r="G314" s="1934" t="s">
        <v>1490</v>
      </c>
      <c r="H314" s="1930">
        <v>7625</v>
      </c>
      <c r="I314" s="660">
        <v>0</v>
      </c>
      <c r="J314" s="916">
        <v>0</v>
      </c>
      <c r="K314" s="922">
        <v>0</v>
      </c>
      <c r="L314" s="1403">
        <v>0</v>
      </c>
      <c r="M314" s="1401">
        <v>0</v>
      </c>
      <c r="N314" s="988">
        <f t="shared" si="15"/>
        <v>0</v>
      </c>
      <c r="O314" s="1403">
        <v>0</v>
      </c>
      <c r="P314" s="922">
        <v>0</v>
      </c>
      <c r="Q314" s="1404">
        <v>0</v>
      </c>
      <c r="R314" s="917">
        <v>0</v>
      </c>
      <c r="S314" s="987">
        <v>0</v>
      </c>
      <c r="T314" s="1405">
        <v>7625</v>
      </c>
      <c r="U314" s="1806">
        <v>0</v>
      </c>
      <c r="V314" s="1405">
        <v>0</v>
      </c>
      <c r="W314" s="498" t="s">
        <v>784</v>
      </c>
      <c r="X314" s="659" t="s">
        <v>22</v>
      </c>
      <c r="Y314" s="992" t="s">
        <v>891</v>
      </c>
      <c r="Z314" s="923" t="s">
        <v>838</v>
      </c>
      <c r="AA314" s="1940" t="s">
        <v>838</v>
      </c>
    </row>
    <row r="315" spans="1:27" ht="25.5" x14ac:dyDescent="0.25">
      <c r="A315" s="913" t="s">
        <v>1491</v>
      </c>
      <c r="B315" s="913" t="s">
        <v>802</v>
      </c>
      <c r="C315" s="659">
        <v>2019</v>
      </c>
      <c r="D315" s="659" t="s">
        <v>784</v>
      </c>
      <c r="E315" s="915" t="s">
        <v>598</v>
      </c>
      <c r="F315" s="659" t="s">
        <v>598</v>
      </c>
      <c r="G315" s="1804" t="s">
        <v>1492</v>
      </c>
      <c r="H315" s="1930">
        <v>515</v>
      </c>
      <c r="I315" s="660">
        <v>0</v>
      </c>
      <c r="J315" s="696">
        <v>0</v>
      </c>
      <c r="K315" s="922">
        <v>515</v>
      </c>
      <c r="L315" s="919">
        <v>0</v>
      </c>
      <c r="M315" s="920">
        <v>515</v>
      </c>
      <c r="N315" s="988">
        <f t="shared" si="15"/>
        <v>515</v>
      </c>
      <c r="O315" s="919">
        <v>0</v>
      </c>
      <c r="P315" s="922">
        <v>0</v>
      </c>
      <c r="Q315" s="1129">
        <v>0</v>
      </c>
      <c r="R315" s="917">
        <v>0</v>
      </c>
      <c r="S315" s="987">
        <v>0</v>
      </c>
      <c r="T315" s="1305">
        <v>0</v>
      </c>
      <c r="U315" s="1806">
        <v>0</v>
      </c>
      <c r="V315" s="1305">
        <v>0</v>
      </c>
      <c r="W315" s="498" t="s">
        <v>784</v>
      </c>
      <c r="X315" s="659" t="s">
        <v>22</v>
      </c>
      <c r="Y315" s="992" t="s">
        <v>312</v>
      </c>
      <c r="Z315" s="923" t="s">
        <v>838</v>
      </c>
      <c r="AA315" s="992" t="s">
        <v>838</v>
      </c>
    </row>
    <row r="316" spans="1:27" ht="25.5" x14ac:dyDescent="0.25">
      <c r="A316" s="994" t="s">
        <v>1493</v>
      </c>
      <c r="B316" s="994" t="s">
        <v>802</v>
      </c>
      <c r="C316" s="646">
        <v>2019</v>
      </c>
      <c r="D316" s="646" t="s">
        <v>784</v>
      </c>
      <c r="E316" s="990" t="s">
        <v>1044</v>
      </c>
      <c r="F316" s="646" t="s">
        <v>1044</v>
      </c>
      <c r="G316" s="1803" t="s">
        <v>1494</v>
      </c>
      <c r="H316" s="1931">
        <v>700</v>
      </c>
      <c r="I316" s="647">
        <v>0</v>
      </c>
      <c r="J316" s="696">
        <v>0</v>
      </c>
      <c r="K316" s="1004">
        <v>700</v>
      </c>
      <c r="L316" s="1003">
        <v>0</v>
      </c>
      <c r="M316" s="1001">
        <v>700</v>
      </c>
      <c r="N316" s="1002">
        <f t="shared" si="15"/>
        <v>700</v>
      </c>
      <c r="O316" s="1003">
        <v>0</v>
      </c>
      <c r="P316" s="1004">
        <v>0</v>
      </c>
      <c r="Q316" s="1011">
        <v>0</v>
      </c>
      <c r="R316" s="2015">
        <v>0</v>
      </c>
      <c r="S316" s="1000">
        <v>0</v>
      </c>
      <c r="T316" s="1169">
        <v>0</v>
      </c>
      <c r="U316" s="1805">
        <v>0</v>
      </c>
      <c r="V316" s="1169">
        <v>0</v>
      </c>
      <c r="W316" s="500" t="s">
        <v>784</v>
      </c>
      <c r="X316" s="646" t="s">
        <v>22</v>
      </c>
      <c r="Y316" s="1008" t="s">
        <v>312</v>
      </c>
      <c r="Z316" s="1304" t="s">
        <v>838</v>
      </c>
      <c r="AA316" s="1008" t="s">
        <v>838</v>
      </c>
    </row>
    <row r="317" spans="1:27" ht="25.5" x14ac:dyDescent="0.25">
      <c r="A317" s="913" t="s">
        <v>1495</v>
      </c>
      <c r="B317" s="913" t="s">
        <v>802</v>
      </c>
      <c r="C317" s="659">
        <v>2019</v>
      </c>
      <c r="D317" s="659" t="s">
        <v>784</v>
      </c>
      <c r="E317" s="915" t="s">
        <v>1496</v>
      </c>
      <c r="F317" s="659" t="s">
        <v>1496</v>
      </c>
      <c r="G317" s="1804" t="s">
        <v>1497</v>
      </c>
      <c r="H317" s="1930">
        <v>1700</v>
      </c>
      <c r="I317" s="660">
        <v>0</v>
      </c>
      <c r="J317" s="696">
        <v>0</v>
      </c>
      <c r="K317" s="922">
        <v>0</v>
      </c>
      <c r="L317" s="919">
        <v>0</v>
      </c>
      <c r="M317" s="920">
        <v>0</v>
      </c>
      <c r="N317" s="988">
        <f t="shared" si="15"/>
        <v>0</v>
      </c>
      <c r="O317" s="919">
        <v>0</v>
      </c>
      <c r="P317" s="922">
        <v>0</v>
      </c>
      <c r="Q317" s="1129">
        <v>0</v>
      </c>
      <c r="R317" s="917">
        <v>0</v>
      </c>
      <c r="S317" s="987">
        <v>0</v>
      </c>
      <c r="T317" s="1305">
        <v>1700</v>
      </c>
      <c r="U317" s="1806">
        <v>0</v>
      </c>
      <c r="V317" s="1305">
        <v>0</v>
      </c>
      <c r="W317" s="498" t="s">
        <v>784</v>
      </c>
      <c r="X317" s="659" t="s">
        <v>22</v>
      </c>
      <c r="Y317" s="992" t="s">
        <v>891</v>
      </c>
      <c r="Z317" s="923" t="s">
        <v>838</v>
      </c>
      <c r="AA317" s="992" t="s">
        <v>838</v>
      </c>
    </row>
    <row r="318" spans="1:27" ht="38.25" x14ac:dyDescent="0.25">
      <c r="A318" s="913" t="s">
        <v>1498</v>
      </c>
      <c r="B318" s="913" t="s">
        <v>802</v>
      </c>
      <c r="C318" s="659">
        <v>2019</v>
      </c>
      <c r="D318" s="659" t="s">
        <v>784</v>
      </c>
      <c r="E318" s="915" t="s">
        <v>1499</v>
      </c>
      <c r="F318" s="659" t="s">
        <v>1499</v>
      </c>
      <c r="G318" s="1804" t="s">
        <v>1500</v>
      </c>
      <c r="H318" s="1930">
        <v>1009</v>
      </c>
      <c r="I318" s="660">
        <v>0</v>
      </c>
      <c r="J318" s="696">
        <v>0</v>
      </c>
      <c r="K318" s="922">
        <v>1009</v>
      </c>
      <c r="L318" s="919">
        <v>0</v>
      </c>
      <c r="M318" s="920">
        <v>1009</v>
      </c>
      <c r="N318" s="988">
        <f t="shared" si="15"/>
        <v>1009</v>
      </c>
      <c r="O318" s="919">
        <v>0</v>
      </c>
      <c r="P318" s="922">
        <v>0</v>
      </c>
      <c r="Q318" s="1129">
        <v>0</v>
      </c>
      <c r="R318" s="917">
        <v>0</v>
      </c>
      <c r="S318" s="987">
        <v>0</v>
      </c>
      <c r="T318" s="1305">
        <v>0</v>
      </c>
      <c r="U318" s="1806">
        <v>0</v>
      </c>
      <c r="V318" s="1305">
        <v>0</v>
      </c>
      <c r="W318" s="498" t="s">
        <v>784</v>
      </c>
      <c r="X318" s="659" t="s">
        <v>22</v>
      </c>
      <c r="Y318" s="992" t="s">
        <v>312</v>
      </c>
      <c r="Z318" s="923" t="s">
        <v>838</v>
      </c>
      <c r="AA318" s="992" t="s">
        <v>838</v>
      </c>
    </row>
    <row r="319" spans="1:27" ht="30" x14ac:dyDescent="0.25">
      <c r="A319" s="994" t="s">
        <v>1526</v>
      </c>
      <c r="B319" s="913" t="s">
        <v>802</v>
      </c>
      <c r="C319" s="659">
        <v>2019</v>
      </c>
      <c r="D319" s="646" t="s">
        <v>784</v>
      </c>
      <c r="E319" s="1381" t="s">
        <v>1528</v>
      </c>
      <c r="F319" s="646" t="s">
        <v>1528</v>
      </c>
      <c r="G319" s="1927" t="s">
        <v>1529</v>
      </c>
      <c r="H319" s="1932">
        <v>1950</v>
      </c>
      <c r="I319" s="1807">
        <v>0</v>
      </c>
      <c r="J319" s="696">
        <v>0</v>
      </c>
      <c r="K319" s="1005">
        <v>1950</v>
      </c>
      <c r="L319" s="1003">
        <v>0</v>
      </c>
      <c r="M319" s="1001">
        <v>1950</v>
      </c>
      <c r="N319" s="1002">
        <v>1950</v>
      </c>
      <c r="O319" s="1003">
        <v>0</v>
      </c>
      <c r="P319" s="1000">
        <v>0</v>
      </c>
      <c r="Q319" s="1011">
        <v>0</v>
      </c>
      <c r="R319" s="2015">
        <v>0</v>
      </c>
      <c r="S319" s="1805">
        <v>0</v>
      </c>
      <c r="T319" s="1169">
        <v>0</v>
      </c>
      <c r="U319" s="1805">
        <v>0</v>
      </c>
      <c r="V319" s="1169">
        <v>0</v>
      </c>
      <c r="W319" s="636" t="s">
        <v>784</v>
      </c>
      <c r="X319" s="659" t="s">
        <v>22</v>
      </c>
      <c r="Y319" s="992" t="s">
        <v>312</v>
      </c>
      <c r="Z319" s="923" t="s">
        <v>838</v>
      </c>
      <c r="AA319" s="992" t="s">
        <v>838</v>
      </c>
    </row>
    <row r="320" spans="1:27" ht="25.5" x14ac:dyDescent="0.25">
      <c r="A320" s="994" t="s">
        <v>1527</v>
      </c>
      <c r="B320" s="913" t="s">
        <v>802</v>
      </c>
      <c r="C320" s="659">
        <v>2019</v>
      </c>
      <c r="D320" s="646" t="s">
        <v>784</v>
      </c>
      <c r="E320" s="1381" t="s">
        <v>1605</v>
      </c>
      <c r="F320" s="646" t="s">
        <v>1605</v>
      </c>
      <c r="G320" s="1803" t="s">
        <v>1530</v>
      </c>
      <c r="H320" s="1932">
        <v>490</v>
      </c>
      <c r="I320" s="1807">
        <v>0</v>
      </c>
      <c r="J320" s="696">
        <v>0</v>
      </c>
      <c r="K320" s="1005">
        <v>490</v>
      </c>
      <c r="L320" s="1003">
        <v>0</v>
      </c>
      <c r="M320" s="1001">
        <v>490</v>
      </c>
      <c r="N320" s="1002">
        <v>490</v>
      </c>
      <c r="O320" s="1003">
        <v>0</v>
      </c>
      <c r="P320" s="1000">
        <v>0</v>
      </c>
      <c r="Q320" s="1011">
        <v>0</v>
      </c>
      <c r="R320" s="2015">
        <v>0</v>
      </c>
      <c r="S320" s="1805">
        <v>0</v>
      </c>
      <c r="T320" s="1169">
        <v>0</v>
      </c>
      <c r="U320" s="1805">
        <v>0</v>
      </c>
      <c r="V320" s="1169">
        <v>0</v>
      </c>
      <c r="W320" s="636" t="s">
        <v>784</v>
      </c>
      <c r="X320" s="659" t="s">
        <v>22</v>
      </c>
      <c r="Y320" s="992" t="s">
        <v>312</v>
      </c>
      <c r="Z320" s="923" t="s">
        <v>838</v>
      </c>
      <c r="AA320" s="992" t="s">
        <v>838</v>
      </c>
    </row>
    <row r="321" spans="1:27" ht="13.5" customHeight="1" thickBot="1" x14ac:dyDescent="0.3">
      <c r="A321" s="180"/>
      <c r="B321" s="180"/>
      <c r="C321" s="58"/>
      <c r="D321" s="58"/>
      <c r="E321" s="181"/>
      <c r="F321" s="58"/>
      <c r="G321" s="1935"/>
      <c r="H321" s="1933"/>
      <c r="I321" s="226"/>
      <c r="J321" s="1298"/>
      <c r="K321" s="222"/>
      <c r="L321" s="731"/>
      <c r="M321" s="789"/>
      <c r="N321" s="445"/>
      <c r="O321" s="9"/>
      <c r="P321" s="222"/>
      <c r="Q321" s="649"/>
      <c r="R321" s="2016"/>
      <c r="S321" s="510"/>
      <c r="T321" s="233"/>
      <c r="U321" s="467"/>
      <c r="V321" s="233"/>
      <c r="W321" s="196"/>
      <c r="X321" s="58"/>
      <c r="Y321" s="225"/>
      <c r="Z321" s="269"/>
      <c r="AA321" s="225"/>
    </row>
    <row r="322" spans="1:27" ht="33.75" customHeight="1" thickBot="1" x14ac:dyDescent="0.3">
      <c r="A322" s="378" t="s">
        <v>784</v>
      </c>
      <c r="B322" s="630" t="s">
        <v>784</v>
      </c>
      <c r="C322" s="210" t="s">
        <v>784</v>
      </c>
      <c r="D322" s="116" t="s">
        <v>784</v>
      </c>
      <c r="E322" s="800" t="s">
        <v>784</v>
      </c>
      <c r="F322" s="160" t="s">
        <v>784</v>
      </c>
      <c r="G322" s="803" t="s">
        <v>918</v>
      </c>
      <c r="H322" s="99">
        <f>SUM(H204:H321)</f>
        <v>914813.94065</v>
      </c>
      <c r="I322" s="504">
        <f>SUM(I204:I321)</f>
        <v>38415.573649999998</v>
      </c>
      <c r="J322" s="99">
        <v>79276.860490000006</v>
      </c>
      <c r="K322" s="648">
        <f t="shared" ref="K322:V322" si="16">SUM(K204:K321)</f>
        <v>60767.443610000009</v>
      </c>
      <c r="L322" s="413">
        <f t="shared" si="16"/>
        <v>161285.30857999998</v>
      </c>
      <c r="M322" s="99">
        <f t="shared" si="16"/>
        <v>-21241.004719999994</v>
      </c>
      <c r="N322" s="99">
        <f t="shared" si="16"/>
        <v>140044.30386000001</v>
      </c>
      <c r="O322" s="438">
        <f t="shared" si="16"/>
        <v>0</v>
      </c>
      <c r="P322" s="413">
        <f t="shared" si="16"/>
        <v>6538</v>
      </c>
      <c r="Q322" s="615">
        <f t="shared" si="16"/>
        <v>12735.79</v>
      </c>
      <c r="R322" s="441">
        <f t="shared" si="16"/>
        <v>6100</v>
      </c>
      <c r="S322" s="615">
        <f t="shared" si="16"/>
        <v>0</v>
      </c>
      <c r="T322" s="413">
        <f t="shared" si="16"/>
        <v>169222.50813999999</v>
      </c>
      <c r="U322" s="413">
        <f t="shared" si="16"/>
        <v>263714.26500000001</v>
      </c>
      <c r="V322" s="413">
        <f t="shared" si="16"/>
        <v>284143.5</v>
      </c>
      <c r="W322" s="134" t="s">
        <v>1657</v>
      </c>
      <c r="X322" s="100" t="s">
        <v>784</v>
      </c>
      <c r="Y322" s="105" t="s">
        <v>784</v>
      </c>
      <c r="Z322" s="407" t="s">
        <v>784</v>
      </c>
      <c r="AA322" s="105" t="s">
        <v>784</v>
      </c>
    </row>
    <row r="323" spans="1:27" ht="30" x14ac:dyDescent="0.25">
      <c r="A323" s="1042" t="s">
        <v>298</v>
      </c>
      <c r="B323" s="1043" t="s">
        <v>299</v>
      </c>
      <c r="C323" s="657">
        <v>2011</v>
      </c>
      <c r="D323" s="1044" t="s">
        <v>1029</v>
      </c>
      <c r="E323" s="1045" t="s">
        <v>14</v>
      </c>
      <c r="F323" s="1046" t="s">
        <v>300</v>
      </c>
      <c r="G323" s="1047" t="s">
        <v>301</v>
      </c>
      <c r="H323" s="1048">
        <v>43778.67959</v>
      </c>
      <c r="I323" s="692">
        <v>23086.086420000003</v>
      </c>
      <c r="J323" s="1384">
        <v>39.787219999999998</v>
      </c>
      <c r="K323" s="1050">
        <v>1100.2127800000001</v>
      </c>
      <c r="L323" s="1051">
        <v>1540</v>
      </c>
      <c r="M323" s="1052">
        <v>-400</v>
      </c>
      <c r="N323" s="1053">
        <f>L323+M323</f>
        <v>1140</v>
      </c>
      <c r="O323" s="1054">
        <v>0</v>
      </c>
      <c r="P323" s="1055">
        <v>0</v>
      </c>
      <c r="Q323" s="1056">
        <v>0</v>
      </c>
      <c r="R323" s="1057">
        <v>0</v>
      </c>
      <c r="S323" s="1058">
        <v>0</v>
      </c>
      <c r="T323" s="1056">
        <v>1000</v>
      </c>
      <c r="U323" s="1059">
        <v>13552.593169999996</v>
      </c>
      <c r="V323" s="1060">
        <v>5000</v>
      </c>
      <c r="W323" s="693" t="s">
        <v>837</v>
      </c>
      <c r="X323" s="657" t="s">
        <v>48</v>
      </c>
      <c r="Y323" s="1061" t="s">
        <v>317</v>
      </c>
      <c r="Z323" s="1061" t="s">
        <v>839</v>
      </c>
      <c r="AA323" s="1062" t="s">
        <v>839</v>
      </c>
    </row>
    <row r="324" spans="1:27" ht="30" x14ac:dyDescent="0.25">
      <c r="A324" s="1042" t="s">
        <v>304</v>
      </c>
      <c r="B324" s="1043" t="s">
        <v>305</v>
      </c>
      <c r="C324" s="657">
        <v>2017</v>
      </c>
      <c r="D324" s="657" t="s">
        <v>181</v>
      </c>
      <c r="E324" s="1045" t="s">
        <v>306</v>
      </c>
      <c r="F324" s="1046" t="s">
        <v>306</v>
      </c>
      <c r="G324" s="1047" t="s">
        <v>307</v>
      </c>
      <c r="H324" s="1048">
        <v>16987.48</v>
      </c>
      <c r="I324" s="692">
        <v>750.52</v>
      </c>
      <c r="J324" s="813">
        <v>0</v>
      </c>
      <c r="K324" s="1050">
        <f>2000+750.52</f>
        <v>2750.52</v>
      </c>
      <c r="L324" s="1051">
        <v>9624.9428000000007</v>
      </c>
      <c r="M324" s="1052">
        <v>-6874.4228000000003</v>
      </c>
      <c r="N324" s="1053">
        <f t="shared" ref="N324:N374" si="17">L324+M324</f>
        <v>2750.5200000000004</v>
      </c>
      <c r="O324" s="1063">
        <v>0</v>
      </c>
      <c r="P324" s="1055">
        <v>0</v>
      </c>
      <c r="Q324" s="1056">
        <v>0</v>
      </c>
      <c r="R324" s="1057">
        <v>0</v>
      </c>
      <c r="S324" s="1058">
        <v>0</v>
      </c>
      <c r="T324" s="1056">
        <v>13486.439999999999</v>
      </c>
      <c r="U324" s="1059">
        <v>0</v>
      </c>
      <c r="V324" s="1060">
        <v>0</v>
      </c>
      <c r="W324" s="693" t="s">
        <v>837</v>
      </c>
      <c r="X324" s="657" t="s">
        <v>48</v>
      </c>
      <c r="Y324" s="1061" t="s">
        <v>317</v>
      </c>
      <c r="Z324" s="1061" t="s">
        <v>839</v>
      </c>
      <c r="AA324" s="1062" t="s">
        <v>839</v>
      </c>
    </row>
    <row r="325" spans="1:27" ht="45" x14ac:dyDescent="0.25">
      <c r="A325" s="77" t="s">
        <v>308</v>
      </c>
      <c r="B325" s="88" t="s">
        <v>309</v>
      </c>
      <c r="C325" s="5">
        <v>2017</v>
      </c>
      <c r="D325" s="4" t="s">
        <v>181</v>
      </c>
      <c r="E325" s="69" t="s">
        <v>310</v>
      </c>
      <c r="F325" s="70" t="s">
        <v>310</v>
      </c>
      <c r="G325" s="165" t="s">
        <v>311</v>
      </c>
      <c r="H325" s="25">
        <v>2359.5</v>
      </c>
      <c r="I325" s="583">
        <v>1843.8889999999999</v>
      </c>
      <c r="J325" s="17">
        <v>0</v>
      </c>
      <c r="K325" s="437">
        <v>515.61099999999999</v>
      </c>
      <c r="L325" s="59">
        <v>515.6110000000001</v>
      </c>
      <c r="M325" s="249">
        <v>0</v>
      </c>
      <c r="N325" s="250">
        <f t="shared" si="17"/>
        <v>515.6110000000001</v>
      </c>
      <c r="O325" s="603">
        <v>0</v>
      </c>
      <c r="P325" s="191">
        <v>0</v>
      </c>
      <c r="Q325" s="27">
        <v>0</v>
      </c>
      <c r="R325" s="439">
        <v>0</v>
      </c>
      <c r="S325" s="26">
        <v>0</v>
      </c>
      <c r="T325" s="27">
        <v>0</v>
      </c>
      <c r="U325" s="157">
        <v>0</v>
      </c>
      <c r="V325" s="43">
        <v>0</v>
      </c>
      <c r="W325" s="122" t="s">
        <v>784</v>
      </c>
      <c r="X325" s="5" t="s">
        <v>48</v>
      </c>
      <c r="Y325" s="267" t="s">
        <v>312</v>
      </c>
      <c r="Z325" s="267" t="s">
        <v>839</v>
      </c>
      <c r="AA325" s="107" t="s">
        <v>839</v>
      </c>
    </row>
    <row r="326" spans="1:27" ht="30" x14ac:dyDescent="0.25">
      <c r="A326" s="77" t="s">
        <v>313</v>
      </c>
      <c r="B326" s="88" t="s">
        <v>314</v>
      </c>
      <c r="C326" s="5">
        <v>2017</v>
      </c>
      <c r="D326" s="5" t="s">
        <v>181</v>
      </c>
      <c r="E326" s="69" t="s">
        <v>315</v>
      </c>
      <c r="F326" s="70" t="s">
        <v>315</v>
      </c>
      <c r="G326" s="165" t="s">
        <v>316</v>
      </c>
      <c r="H326" s="25">
        <v>1452</v>
      </c>
      <c r="I326" s="583">
        <v>1064.8</v>
      </c>
      <c r="J326" s="17">
        <v>0</v>
      </c>
      <c r="K326" s="437">
        <v>250</v>
      </c>
      <c r="L326" s="59">
        <v>250</v>
      </c>
      <c r="M326" s="249">
        <v>0</v>
      </c>
      <c r="N326" s="250">
        <f t="shared" si="17"/>
        <v>250</v>
      </c>
      <c r="O326" s="603">
        <v>0</v>
      </c>
      <c r="P326" s="191">
        <v>0</v>
      </c>
      <c r="Q326" s="27">
        <v>0</v>
      </c>
      <c r="R326" s="439">
        <v>0</v>
      </c>
      <c r="S326" s="26">
        <v>0</v>
      </c>
      <c r="T326" s="27">
        <v>137.19999999999999</v>
      </c>
      <c r="U326" s="157">
        <v>0</v>
      </c>
      <c r="V326" s="43">
        <v>0</v>
      </c>
      <c r="W326" s="55" t="s">
        <v>784</v>
      </c>
      <c r="X326" s="5" t="s">
        <v>48</v>
      </c>
      <c r="Y326" s="267" t="s">
        <v>317</v>
      </c>
      <c r="Z326" s="267" t="s">
        <v>839</v>
      </c>
      <c r="AA326" s="107" t="s">
        <v>839</v>
      </c>
    </row>
    <row r="327" spans="1:27" s="717" customFormat="1" ht="38.25" x14ac:dyDescent="0.25">
      <c r="A327" s="946" t="s">
        <v>318</v>
      </c>
      <c r="B327" s="779" t="s">
        <v>319</v>
      </c>
      <c r="C327" s="822">
        <v>2017</v>
      </c>
      <c r="D327" s="518" t="s">
        <v>1028</v>
      </c>
      <c r="E327" s="780" t="s">
        <v>320</v>
      </c>
      <c r="F327" s="501" t="s">
        <v>852</v>
      </c>
      <c r="G327" s="1064" t="s">
        <v>321</v>
      </c>
      <c r="H327" s="521">
        <v>31863.701000000001</v>
      </c>
      <c r="I327" s="694">
        <v>2110.4</v>
      </c>
      <c r="J327" s="521">
        <v>42.35</v>
      </c>
      <c r="K327" s="782">
        <v>4957.6499999999996</v>
      </c>
      <c r="L327" s="1040">
        <v>5000</v>
      </c>
      <c r="M327" s="873">
        <v>0</v>
      </c>
      <c r="N327" s="874">
        <f t="shared" si="17"/>
        <v>5000</v>
      </c>
      <c r="O327" s="1065">
        <v>0</v>
      </c>
      <c r="P327" s="1066">
        <v>0</v>
      </c>
      <c r="Q327" s="785">
        <v>0</v>
      </c>
      <c r="R327" s="781">
        <v>0</v>
      </c>
      <c r="S327" s="783">
        <v>0</v>
      </c>
      <c r="T327" s="785">
        <v>24753.300999999999</v>
      </c>
      <c r="U327" s="1041">
        <v>0</v>
      </c>
      <c r="V327" s="1041">
        <v>0</v>
      </c>
      <c r="W327" s="491" t="s">
        <v>1428</v>
      </c>
      <c r="X327" s="518" t="s">
        <v>16</v>
      </c>
      <c r="Y327" s="787" t="s">
        <v>27</v>
      </c>
      <c r="Z327" s="787" t="s">
        <v>838</v>
      </c>
      <c r="AA327" s="786" t="s">
        <v>838</v>
      </c>
    </row>
    <row r="328" spans="1:27" ht="45" x14ac:dyDescent="0.25">
      <c r="A328" s="77" t="s">
        <v>322</v>
      </c>
      <c r="B328" s="120" t="s">
        <v>323</v>
      </c>
      <c r="C328" s="4">
        <v>2017</v>
      </c>
      <c r="D328" s="5" t="s">
        <v>1027</v>
      </c>
      <c r="E328" s="69" t="s">
        <v>324</v>
      </c>
      <c r="F328" s="70" t="s">
        <v>324</v>
      </c>
      <c r="G328" s="165" t="s">
        <v>325</v>
      </c>
      <c r="H328" s="17">
        <v>1560.66</v>
      </c>
      <c r="I328" s="13">
        <v>91.5</v>
      </c>
      <c r="J328" s="17">
        <v>0</v>
      </c>
      <c r="K328" s="437">
        <v>469.16</v>
      </c>
      <c r="L328" s="59">
        <v>469.16000000000008</v>
      </c>
      <c r="M328" s="249">
        <v>0</v>
      </c>
      <c r="N328" s="250">
        <f t="shared" si="17"/>
        <v>469.16000000000008</v>
      </c>
      <c r="O328" s="36">
        <v>0</v>
      </c>
      <c r="P328" s="191">
        <v>0</v>
      </c>
      <c r="Q328" s="19">
        <v>0</v>
      </c>
      <c r="R328" s="434">
        <v>0</v>
      </c>
      <c r="S328" s="18">
        <v>0</v>
      </c>
      <c r="T328" s="19">
        <v>1000</v>
      </c>
      <c r="U328" s="43">
        <v>0</v>
      </c>
      <c r="V328" s="43">
        <v>0</v>
      </c>
      <c r="W328" s="5" t="s">
        <v>851</v>
      </c>
      <c r="X328" s="5" t="s">
        <v>16</v>
      </c>
      <c r="Y328" s="267" t="s">
        <v>27</v>
      </c>
      <c r="Z328" s="267" t="s">
        <v>838</v>
      </c>
      <c r="AA328" s="107" t="s">
        <v>838</v>
      </c>
    </row>
    <row r="329" spans="1:27" ht="38.25" x14ac:dyDescent="0.25">
      <c r="A329" s="77" t="s">
        <v>326</v>
      </c>
      <c r="B329" s="120" t="s">
        <v>327</v>
      </c>
      <c r="C329" s="4">
        <v>2017</v>
      </c>
      <c r="D329" s="5" t="s">
        <v>1027</v>
      </c>
      <c r="E329" s="69" t="s">
        <v>324</v>
      </c>
      <c r="F329" s="70" t="s">
        <v>324</v>
      </c>
      <c r="G329" s="165" t="s">
        <v>328</v>
      </c>
      <c r="H329" s="17">
        <v>200</v>
      </c>
      <c r="I329" s="13">
        <v>0</v>
      </c>
      <c r="J329" s="17">
        <v>0</v>
      </c>
      <c r="K329" s="437">
        <v>200</v>
      </c>
      <c r="L329" s="59">
        <v>200</v>
      </c>
      <c r="M329" s="249">
        <v>0</v>
      </c>
      <c r="N329" s="250">
        <f t="shared" si="17"/>
        <v>200</v>
      </c>
      <c r="O329" s="604">
        <v>0</v>
      </c>
      <c r="P329" s="191">
        <v>0</v>
      </c>
      <c r="Q329" s="19">
        <v>0</v>
      </c>
      <c r="R329" s="434">
        <v>0</v>
      </c>
      <c r="S329" s="18">
        <v>0</v>
      </c>
      <c r="T329" s="19">
        <v>0</v>
      </c>
      <c r="U329" s="18">
        <v>0</v>
      </c>
      <c r="V329" s="43">
        <v>0</v>
      </c>
      <c r="W329" s="55" t="s">
        <v>784</v>
      </c>
      <c r="X329" s="5" t="s">
        <v>22</v>
      </c>
      <c r="Y329" s="267" t="s">
        <v>27</v>
      </c>
      <c r="Z329" s="267" t="s">
        <v>838</v>
      </c>
      <c r="AA329" s="107" t="s">
        <v>838</v>
      </c>
    </row>
    <row r="330" spans="1:27" ht="30" x14ac:dyDescent="0.25">
      <c r="A330" s="77" t="s">
        <v>330</v>
      </c>
      <c r="B330" s="120" t="s">
        <v>331</v>
      </c>
      <c r="C330" s="4">
        <v>2017</v>
      </c>
      <c r="D330" s="5" t="s">
        <v>1019</v>
      </c>
      <c r="E330" s="69" t="s">
        <v>14</v>
      </c>
      <c r="F330" s="70" t="s">
        <v>310</v>
      </c>
      <c r="G330" s="165" t="s">
        <v>332</v>
      </c>
      <c r="H330" s="17">
        <v>22</v>
      </c>
      <c r="I330" s="13">
        <v>0</v>
      </c>
      <c r="J330" s="17">
        <v>0</v>
      </c>
      <c r="K330" s="18">
        <v>22</v>
      </c>
      <c r="L330" s="59">
        <v>22</v>
      </c>
      <c r="M330" s="249">
        <v>0</v>
      </c>
      <c r="N330" s="250">
        <f t="shared" si="17"/>
        <v>22</v>
      </c>
      <c r="O330" s="604">
        <v>0</v>
      </c>
      <c r="P330" s="191">
        <v>0</v>
      </c>
      <c r="Q330" s="19">
        <v>0</v>
      </c>
      <c r="R330" s="434">
        <v>0</v>
      </c>
      <c r="S330" s="18">
        <v>0</v>
      </c>
      <c r="T330" s="19">
        <v>0</v>
      </c>
      <c r="U330" s="18">
        <v>0</v>
      </c>
      <c r="V330" s="43">
        <v>0</v>
      </c>
      <c r="W330" s="55" t="s">
        <v>784</v>
      </c>
      <c r="X330" s="5" t="s">
        <v>48</v>
      </c>
      <c r="Y330" s="267" t="s">
        <v>312</v>
      </c>
      <c r="Z330" s="267" t="s">
        <v>839</v>
      </c>
      <c r="AA330" s="107" t="s">
        <v>839</v>
      </c>
    </row>
    <row r="331" spans="1:27" ht="25.5" x14ac:dyDescent="0.25">
      <c r="A331" s="77" t="s">
        <v>333</v>
      </c>
      <c r="B331" s="120" t="s">
        <v>334</v>
      </c>
      <c r="C331" s="4">
        <v>2017</v>
      </c>
      <c r="D331" s="5" t="s">
        <v>1019</v>
      </c>
      <c r="E331" s="69" t="s">
        <v>335</v>
      </c>
      <c r="F331" s="70" t="s">
        <v>335</v>
      </c>
      <c r="G331" s="165" t="s">
        <v>336</v>
      </c>
      <c r="H331" s="17">
        <v>200</v>
      </c>
      <c r="I331" s="13">
        <v>20.57</v>
      </c>
      <c r="J331" s="17">
        <v>0</v>
      </c>
      <c r="K331" s="437">
        <v>179.43</v>
      </c>
      <c r="L331" s="59">
        <v>179.43</v>
      </c>
      <c r="M331" s="249">
        <v>0</v>
      </c>
      <c r="N331" s="250">
        <f t="shared" si="17"/>
        <v>179.43</v>
      </c>
      <c r="O331" s="604">
        <v>0</v>
      </c>
      <c r="P331" s="191">
        <v>0</v>
      </c>
      <c r="Q331" s="19">
        <v>0</v>
      </c>
      <c r="R331" s="434">
        <v>0</v>
      </c>
      <c r="S331" s="18">
        <v>0</v>
      </c>
      <c r="T331" s="19">
        <v>0</v>
      </c>
      <c r="U331" s="18">
        <v>0</v>
      </c>
      <c r="V331" s="43">
        <v>0</v>
      </c>
      <c r="W331" s="55" t="s">
        <v>851</v>
      </c>
      <c r="X331" s="5" t="s">
        <v>16</v>
      </c>
      <c r="Y331" s="267" t="s">
        <v>27</v>
      </c>
      <c r="Z331" s="267" t="s">
        <v>838</v>
      </c>
      <c r="AA331" s="107" t="s">
        <v>838</v>
      </c>
    </row>
    <row r="332" spans="1:27" s="686" customFormat="1" ht="25.5" x14ac:dyDescent="0.25">
      <c r="A332" s="2036" t="s">
        <v>337</v>
      </c>
      <c r="B332" s="1068" t="s">
        <v>338</v>
      </c>
      <c r="C332" s="699">
        <v>2017</v>
      </c>
      <c r="D332" s="699" t="s">
        <v>1019</v>
      </c>
      <c r="E332" s="1078" t="s">
        <v>339</v>
      </c>
      <c r="F332" s="1079" t="s">
        <v>853</v>
      </c>
      <c r="G332" s="1080" t="s">
        <v>340</v>
      </c>
      <c r="H332" s="700">
        <v>187</v>
      </c>
      <c r="I332" s="702">
        <v>187</v>
      </c>
      <c r="J332" s="700">
        <v>0</v>
      </c>
      <c r="K332" s="1071">
        <v>0</v>
      </c>
      <c r="L332" s="1072">
        <v>63</v>
      </c>
      <c r="M332" s="1021">
        <v>-63</v>
      </c>
      <c r="N332" s="1073">
        <f t="shared" si="17"/>
        <v>0</v>
      </c>
      <c r="O332" s="2037">
        <v>0</v>
      </c>
      <c r="P332" s="2038">
        <v>0</v>
      </c>
      <c r="Q332" s="1082">
        <v>0</v>
      </c>
      <c r="R332" s="1070">
        <v>0</v>
      </c>
      <c r="S332" s="1506">
        <v>0</v>
      </c>
      <c r="T332" s="1082">
        <v>0</v>
      </c>
      <c r="U332" s="1506">
        <v>0</v>
      </c>
      <c r="V332" s="1076">
        <v>0</v>
      </c>
      <c r="W332" s="701" t="s">
        <v>1553</v>
      </c>
      <c r="X332" s="2039" t="s">
        <v>877</v>
      </c>
      <c r="Y332" s="2039" t="s">
        <v>659</v>
      </c>
      <c r="Z332" s="2040" t="s">
        <v>839</v>
      </c>
      <c r="AA332" s="2039" t="s">
        <v>839</v>
      </c>
    </row>
    <row r="333" spans="1:27" ht="38.25" x14ac:dyDescent="0.25">
      <c r="A333" s="77" t="s">
        <v>344</v>
      </c>
      <c r="B333" s="96" t="s">
        <v>345</v>
      </c>
      <c r="C333" s="85">
        <v>2018</v>
      </c>
      <c r="D333" s="85" t="s">
        <v>854</v>
      </c>
      <c r="E333" s="84" t="s">
        <v>14</v>
      </c>
      <c r="F333" s="932" t="s">
        <v>14</v>
      </c>
      <c r="G333" s="944" t="s">
        <v>346</v>
      </c>
      <c r="H333" s="25">
        <v>5000</v>
      </c>
      <c r="I333" s="583">
        <v>1382.066</v>
      </c>
      <c r="J333" s="17">
        <v>0</v>
      </c>
      <c r="K333" s="437">
        <v>2617.9340000000002</v>
      </c>
      <c r="L333" s="59">
        <v>2617.9340000000002</v>
      </c>
      <c r="M333" s="771">
        <v>0</v>
      </c>
      <c r="N333" s="776">
        <f t="shared" si="17"/>
        <v>2617.9340000000002</v>
      </c>
      <c r="O333" s="32">
        <v>0</v>
      </c>
      <c r="P333" s="27">
        <v>0</v>
      </c>
      <c r="Q333" s="27">
        <v>0</v>
      </c>
      <c r="R333" s="439">
        <v>0</v>
      </c>
      <c r="S333" s="29">
        <v>0</v>
      </c>
      <c r="T333" s="27">
        <v>1000</v>
      </c>
      <c r="U333" s="26">
        <v>0</v>
      </c>
      <c r="V333" s="43">
        <v>0</v>
      </c>
      <c r="W333" s="122" t="s">
        <v>784</v>
      </c>
      <c r="X333" s="122" t="s">
        <v>48</v>
      </c>
      <c r="Y333" s="122" t="s">
        <v>312</v>
      </c>
      <c r="Z333" s="1962" t="s">
        <v>838</v>
      </c>
      <c r="AA333" s="85" t="s">
        <v>838</v>
      </c>
    </row>
    <row r="334" spans="1:27" ht="30" x14ac:dyDescent="0.25">
      <c r="A334" s="77" t="s">
        <v>347</v>
      </c>
      <c r="B334" s="96" t="s">
        <v>348</v>
      </c>
      <c r="C334" s="5">
        <v>2018</v>
      </c>
      <c r="D334" s="5" t="s">
        <v>816</v>
      </c>
      <c r="E334" s="69" t="s">
        <v>14</v>
      </c>
      <c r="F334" s="70" t="s">
        <v>14</v>
      </c>
      <c r="G334" s="165" t="s">
        <v>855</v>
      </c>
      <c r="H334" s="17">
        <v>17500</v>
      </c>
      <c r="I334" s="13">
        <v>0</v>
      </c>
      <c r="J334" s="17">
        <v>0</v>
      </c>
      <c r="K334" s="437">
        <v>0</v>
      </c>
      <c r="L334" s="59">
        <v>0</v>
      </c>
      <c r="M334" s="249">
        <v>0</v>
      </c>
      <c r="N334" s="252">
        <f t="shared" si="17"/>
        <v>0</v>
      </c>
      <c r="O334" s="36">
        <v>0</v>
      </c>
      <c r="P334" s="191">
        <v>0</v>
      </c>
      <c r="Q334" s="19">
        <v>0</v>
      </c>
      <c r="R334" s="434">
        <v>0</v>
      </c>
      <c r="S334" s="30">
        <v>0</v>
      </c>
      <c r="T334" s="19">
        <v>0</v>
      </c>
      <c r="U334" s="43">
        <v>5000</v>
      </c>
      <c r="V334" s="43">
        <v>12500</v>
      </c>
      <c r="W334" s="55" t="s">
        <v>784</v>
      </c>
      <c r="X334" s="5" t="s">
        <v>272</v>
      </c>
      <c r="Y334" s="267" t="s">
        <v>856</v>
      </c>
      <c r="Z334" s="267" t="s">
        <v>838</v>
      </c>
      <c r="AA334" s="107" t="s">
        <v>838</v>
      </c>
    </row>
    <row r="335" spans="1:27" s="710" customFormat="1" ht="30" x14ac:dyDescent="0.25">
      <c r="A335" s="79" t="s">
        <v>350</v>
      </c>
      <c r="B335" s="119" t="s">
        <v>351</v>
      </c>
      <c r="C335" s="72">
        <v>2018</v>
      </c>
      <c r="D335" s="72" t="s">
        <v>264</v>
      </c>
      <c r="E335" s="73" t="s">
        <v>14</v>
      </c>
      <c r="F335" s="73" t="s">
        <v>352</v>
      </c>
      <c r="G335" s="168" t="s">
        <v>353</v>
      </c>
      <c r="H335" s="22">
        <v>150</v>
      </c>
      <c r="I335" s="522">
        <v>0</v>
      </c>
      <c r="J335" s="22">
        <v>150</v>
      </c>
      <c r="K335" s="455">
        <v>0</v>
      </c>
      <c r="L335" s="460">
        <v>150</v>
      </c>
      <c r="M335" s="539">
        <v>0</v>
      </c>
      <c r="N335" s="520">
        <f t="shared" si="17"/>
        <v>150</v>
      </c>
      <c r="O335" s="37">
        <v>0</v>
      </c>
      <c r="P335" s="739">
        <v>0</v>
      </c>
      <c r="Q335" s="198">
        <v>0</v>
      </c>
      <c r="R335" s="792">
        <v>0</v>
      </c>
      <c r="S335" s="502">
        <v>0</v>
      </c>
      <c r="T335" s="24">
        <v>0</v>
      </c>
      <c r="U335" s="23">
        <v>0</v>
      </c>
      <c r="V335" s="23">
        <v>0</v>
      </c>
      <c r="W335" s="118" t="s">
        <v>784</v>
      </c>
      <c r="X335" s="72" t="s">
        <v>877</v>
      </c>
      <c r="Y335" s="315" t="s">
        <v>573</v>
      </c>
      <c r="Z335" s="315" t="s">
        <v>839</v>
      </c>
      <c r="AA335" s="71" t="s">
        <v>839</v>
      </c>
    </row>
    <row r="336" spans="1:27" ht="30" x14ac:dyDescent="0.25">
      <c r="A336" s="77" t="s">
        <v>354</v>
      </c>
      <c r="B336" s="96" t="s">
        <v>355</v>
      </c>
      <c r="C336" s="4">
        <v>2018</v>
      </c>
      <c r="D336" s="85" t="s">
        <v>104</v>
      </c>
      <c r="E336" s="66" t="s">
        <v>349</v>
      </c>
      <c r="F336" s="91" t="s">
        <v>1153</v>
      </c>
      <c r="G336" s="1077" t="s">
        <v>356</v>
      </c>
      <c r="H336" s="1">
        <v>1632.22344</v>
      </c>
      <c r="I336" s="221">
        <v>0</v>
      </c>
      <c r="J336" s="17">
        <v>0</v>
      </c>
      <c r="K336" s="437">
        <v>1632.22344</v>
      </c>
      <c r="L336" s="59">
        <v>1632.22344</v>
      </c>
      <c r="M336" s="249">
        <v>0</v>
      </c>
      <c r="N336" s="252">
        <f t="shared" si="17"/>
        <v>1632.22344</v>
      </c>
      <c r="O336" s="41">
        <v>0</v>
      </c>
      <c r="P336" s="191">
        <v>0</v>
      </c>
      <c r="Q336" s="19">
        <v>0</v>
      </c>
      <c r="R336" s="434">
        <v>0</v>
      </c>
      <c r="S336" s="30">
        <v>0</v>
      </c>
      <c r="T336" s="19">
        <v>0</v>
      </c>
      <c r="U336" s="18">
        <v>0</v>
      </c>
      <c r="V336" s="18">
        <v>0</v>
      </c>
      <c r="W336" s="55" t="s">
        <v>784</v>
      </c>
      <c r="X336" s="5" t="s">
        <v>48</v>
      </c>
      <c r="Y336" s="267" t="s">
        <v>27</v>
      </c>
      <c r="Z336" s="267" t="s">
        <v>839</v>
      </c>
      <c r="AA336" s="107" t="s">
        <v>839</v>
      </c>
    </row>
    <row r="337" spans="1:27" ht="30" x14ac:dyDescent="0.25">
      <c r="A337" s="77" t="s">
        <v>357</v>
      </c>
      <c r="B337" s="96" t="s">
        <v>358</v>
      </c>
      <c r="C337" s="5">
        <v>2018</v>
      </c>
      <c r="D337" s="85" t="s">
        <v>104</v>
      </c>
      <c r="E337" s="84" t="s">
        <v>359</v>
      </c>
      <c r="F337" s="932" t="s">
        <v>359</v>
      </c>
      <c r="G337" s="944" t="s">
        <v>360</v>
      </c>
      <c r="H337" s="25">
        <v>19061.2</v>
      </c>
      <c r="I337" s="583">
        <v>0</v>
      </c>
      <c r="J337" s="17">
        <v>1087.79</v>
      </c>
      <c r="K337" s="437">
        <v>2800</v>
      </c>
      <c r="L337" s="59">
        <v>3887.79</v>
      </c>
      <c r="M337" s="249">
        <v>0</v>
      </c>
      <c r="N337" s="252">
        <f t="shared" si="17"/>
        <v>3887.79</v>
      </c>
      <c r="O337" s="32">
        <v>0</v>
      </c>
      <c r="P337" s="191">
        <v>0</v>
      </c>
      <c r="Q337" s="27">
        <v>0</v>
      </c>
      <c r="R337" s="434">
        <v>0</v>
      </c>
      <c r="S337" s="18">
        <v>0</v>
      </c>
      <c r="T337" s="42">
        <v>7000</v>
      </c>
      <c r="U337" s="43">
        <v>8173.41</v>
      </c>
      <c r="V337" s="314">
        <v>0</v>
      </c>
      <c r="W337" s="122" t="s">
        <v>784</v>
      </c>
      <c r="X337" s="122" t="s">
        <v>16</v>
      </c>
      <c r="Y337" s="122" t="s">
        <v>659</v>
      </c>
      <c r="Z337" s="1962" t="s">
        <v>838</v>
      </c>
      <c r="AA337" s="85" t="s">
        <v>838</v>
      </c>
    </row>
    <row r="338" spans="1:27" ht="30" x14ac:dyDescent="0.25">
      <c r="A338" s="1042" t="s">
        <v>361</v>
      </c>
      <c r="B338" s="1043" t="s">
        <v>362</v>
      </c>
      <c r="C338" s="657">
        <v>2018</v>
      </c>
      <c r="D338" s="657" t="s">
        <v>816</v>
      </c>
      <c r="E338" s="1045" t="s">
        <v>363</v>
      </c>
      <c r="F338" s="1046" t="s">
        <v>363</v>
      </c>
      <c r="G338" s="1047" t="s">
        <v>364</v>
      </c>
      <c r="H338" s="813">
        <v>44571.911999999997</v>
      </c>
      <c r="I338" s="721">
        <v>0</v>
      </c>
      <c r="J338" s="813">
        <v>0</v>
      </c>
      <c r="K338" s="1050">
        <v>0</v>
      </c>
      <c r="L338" s="1051">
        <v>2633.703</v>
      </c>
      <c r="M338" s="1052">
        <v>-2633.703</v>
      </c>
      <c r="N338" s="1053">
        <f t="shared" si="17"/>
        <v>0</v>
      </c>
      <c r="O338" s="1063">
        <v>0</v>
      </c>
      <c r="P338" s="1055">
        <v>0</v>
      </c>
      <c r="Q338" s="1310">
        <v>0</v>
      </c>
      <c r="R338" s="1710">
        <v>0</v>
      </c>
      <c r="S338" s="1194">
        <v>0</v>
      </c>
      <c r="T338" s="1711">
        <v>2633.703</v>
      </c>
      <c r="U338" s="1712">
        <v>25571.912</v>
      </c>
      <c r="V338" s="1712">
        <v>16366.297</v>
      </c>
      <c r="W338" s="689" t="s">
        <v>1582</v>
      </c>
      <c r="X338" s="657" t="s">
        <v>16</v>
      </c>
      <c r="Y338" s="1061" t="s">
        <v>27</v>
      </c>
      <c r="Z338" s="1061" t="s">
        <v>838</v>
      </c>
      <c r="AA338" s="1062" t="s">
        <v>838</v>
      </c>
    </row>
    <row r="339" spans="1:27" ht="25.5" x14ac:dyDescent="0.25">
      <c r="A339" s="79" t="s">
        <v>365</v>
      </c>
      <c r="B339" s="119" t="s">
        <v>366</v>
      </c>
      <c r="C339" s="72">
        <v>2018</v>
      </c>
      <c r="D339" s="72" t="s">
        <v>816</v>
      </c>
      <c r="E339" s="73" t="s">
        <v>302</v>
      </c>
      <c r="F339" s="81" t="s">
        <v>852</v>
      </c>
      <c r="G339" s="168" t="s">
        <v>367</v>
      </c>
      <c r="H339" s="22">
        <v>200</v>
      </c>
      <c r="I339" s="522">
        <v>0</v>
      </c>
      <c r="J339" s="22">
        <v>199.892</v>
      </c>
      <c r="K339" s="455">
        <v>0</v>
      </c>
      <c r="L339" s="460">
        <v>200</v>
      </c>
      <c r="M339" s="539">
        <v>0</v>
      </c>
      <c r="N339" s="312">
        <f t="shared" si="17"/>
        <v>200</v>
      </c>
      <c r="O339" s="37">
        <v>0</v>
      </c>
      <c r="P339" s="739">
        <v>0</v>
      </c>
      <c r="Q339" s="24">
        <v>0</v>
      </c>
      <c r="R339" s="456">
        <v>0</v>
      </c>
      <c r="S339" s="40">
        <v>0</v>
      </c>
      <c r="T339" s="313">
        <v>0</v>
      </c>
      <c r="U339" s="314">
        <v>0</v>
      </c>
      <c r="V339" s="314">
        <v>0</v>
      </c>
      <c r="W339" s="118" t="s">
        <v>784</v>
      </c>
      <c r="X339" s="72" t="s">
        <v>877</v>
      </c>
      <c r="Y339" s="315" t="s">
        <v>572</v>
      </c>
      <c r="Z339" s="315" t="s">
        <v>839</v>
      </c>
      <c r="AA339" s="71" t="s">
        <v>839</v>
      </c>
    </row>
    <row r="340" spans="1:27" ht="25.5" x14ac:dyDescent="0.25">
      <c r="A340" s="1042" t="s">
        <v>368</v>
      </c>
      <c r="B340" s="1043" t="s">
        <v>369</v>
      </c>
      <c r="C340" s="657">
        <v>2018</v>
      </c>
      <c r="D340" s="657" t="s">
        <v>816</v>
      </c>
      <c r="E340" s="1045" t="s">
        <v>370</v>
      </c>
      <c r="F340" s="1046" t="s">
        <v>857</v>
      </c>
      <c r="G340" s="1047" t="s">
        <v>371</v>
      </c>
      <c r="H340" s="813">
        <v>6316.7610000000004</v>
      </c>
      <c r="I340" s="721">
        <v>0</v>
      </c>
      <c r="J340" s="813">
        <v>0</v>
      </c>
      <c r="K340" s="1050">
        <v>6316.7610000000004</v>
      </c>
      <c r="L340" s="1051">
        <v>826</v>
      </c>
      <c r="M340" s="1052">
        <v>5490.7610000000004</v>
      </c>
      <c r="N340" s="1053">
        <f t="shared" si="17"/>
        <v>6316.7610000000004</v>
      </c>
      <c r="O340" s="1311">
        <v>0</v>
      </c>
      <c r="P340" s="1055">
        <v>0</v>
      </c>
      <c r="Q340" s="1310">
        <v>0</v>
      </c>
      <c r="R340" s="1049">
        <v>0</v>
      </c>
      <c r="S340" s="1051">
        <v>0</v>
      </c>
      <c r="T340" s="1713">
        <v>0</v>
      </c>
      <c r="U340" s="1060">
        <v>0</v>
      </c>
      <c r="V340" s="1060">
        <v>0</v>
      </c>
      <c r="W340" s="689" t="s">
        <v>1583</v>
      </c>
      <c r="X340" s="657" t="s">
        <v>48</v>
      </c>
      <c r="Y340" s="1061" t="s">
        <v>312</v>
      </c>
      <c r="Z340" s="1061" t="s">
        <v>839</v>
      </c>
      <c r="AA340" s="1062" t="s">
        <v>838</v>
      </c>
    </row>
    <row r="341" spans="1:27" ht="25.5" x14ac:dyDescent="0.25">
      <c r="A341" s="77" t="s">
        <v>372</v>
      </c>
      <c r="B341" s="88" t="s">
        <v>373</v>
      </c>
      <c r="C341" s="5">
        <v>2018</v>
      </c>
      <c r="D341" s="5" t="s">
        <v>816</v>
      </c>
      <c r="E341" s="69" t="s">
        <v>363</v>
      </c>
      <c r="F341" s="70" t="s">
        <v>363</v>
      </c>
      <c r="G341" s="165" t="s">
        <v>374</v>
      </c>
      <c r="H341" s="17">
        <v>96.8</v>
      </c>
      <c r="I341" s="13">
        <v>0</v>
      </c>
      <c r="J341" s="17">
        <v>0</v>
      </c>
      <c r="K341" s="18">
        <v>60.5</v>
      </c>
      <c r="L341" s="59">
        <v>60.5</v>
      </c>
      <c r="M341" s="249">
        <v>0</v>
      </c>
      <c r="N341" s="250">
        <f t="shared" si="17"/>
        <v>60.5</v>
      </c>
      <c r="O341" s="36">
        <v>0</v>
      </c>
      <c r="P341" s="191">
        <v>0</v>
      </c>
      <c r="Q341" s="19">
        <v>0</v>
      </c>
      <c r="R341" s="434">
        <v>0</v>
      </c>
      <c r="S341" s="30">
        <v>0</v>
      </c>
      <c r="T341" s="42">
        <v>36.299999999999997</v>
      </c>
      <c r="U341" s="43">
        <v>0</v>
      </c>
      <c r="V341" s="43">
        <v>0</v>
      </c>
      <c r="W341" s="55" t="s">
        <v>784</v>
      </c>
      <c r="X341" s="5" t="s">
        <v>22</v>
      </c>
      <c r="Y341" s="267" t="s">
        <v>27</v>
      </c>
      <c r="Z341" s="267" t="s">
        <v>838</v>
      </c>
      <c r="AA341" s="107" t="s">
        <v>838</v>
      </c>
    </row>
    <row r="342" spans="1:27" ht="30" x14ac:dyDescent="0.25">
      <c r="A342" s="68" t="s">
        <v>375</v>
      </c>
      <c r="B342" s="88" t="s">
        <v>376</v>
      </c>
      <c r="C342" s="5">
        <v>2018</v>
      </c>
      <c r="D342" s="5" t="s">
        <v>816</v>
      </c>
      <c r="E342" s="69" t="s">
        <v>377</v>
      </c>
      <c r="F342" s="70" t="s">
        <v>378</v>
      </c>
      <c r="G342" s="165" t="s">
        <v>379</v>
      </c>
      <c r="H342" s="17">
        <v>248655</v>
      </c>
      <c r="I342" s="13">
        <v>0</v>
      </c>
      <c r="J342" s="17">
        <v>0</v>
      </c>
      <c r="K342" s="437">
        <v>0</v>
      </c>
      <c r="L342" s="59">
        <v>0</v>
      </c>
      <c r="M342" s="249">
        <v>0</v>
      </c>
      <c r="N342" s="250">
        <f t="shared" si="17"/>
        <v>0</v>
      </c>
      <c r="O342" s="36">
        <v>0</v>
      </c>
      <c r="P342" s="67">
        <v>0</v>
      </c>
      <c r="Q342" s="19">
        <v>0</v>
      </c>
      <c r="R342" s="434">
        <v>0</v>
      </c>
      <c r="S342" s="30">
        <v>0</v>
      </c>
      <c r="T342" s="42">
        <v>6691</v>
      </c>
      <c r="U342" s="43">
        <v>18764</v>
      </c>
      <c r="V342" s="43">
        <v>223200</v>
      </c>
      <c r="W342" s="55" t="s">
        <v>784</v>
      </c>
      <c r="X342" s="5" t="s">
        <v>16</v>
      </c>
      <c r="Y342" s="267" t="s">
        <v>312</v>
      </c>
      <c r="Z342" s="267" t="s">
        <v>838</v>
      </c>
      <c r="AA342" s="107" t="s">
        <v>838</v>
      </c>
    </row>
    <row r="343" spans="1:27" ht="30" x14ac:dyDescent="0.25">
      <c r="A343" s="1306" t="s">
        <v>380</v>
      </c>
      <c r="B343" s="1043" t="s">
        <v>381</v>
      </c>
      <c r="C343" s="657">
        <v>2018</v>
      </c>
      <c r="D343" s="657" t="s">
        <v>816</v>
      </c>
      <c r="E343" s="1045" t="s">
        <v>310</v>
      </c>
      <c r="F343" s="1046" t="s">
        <v>310</v>
      </c>
      <c r="G343" s="1047" t="s">
        <v>858</v>
      </c>
      <c r="H343" s="813">
        <v>248655</v>
      </c>
      <c r="I343" s="721">
        <v>0</v>
      </c>
      <c r="J343" s="813">
        <v>0</v>
      </c>
      <c r="K343" s="1050">
        <v>1000</v>
      </c>
      <c r="L343" s="1051">
        <v>2200</v>
      </c>
      <c r="M343" s="1052">
        <v>-1200</v>
      </c>
      <c r="N343" s="1053">
        <f t="shared" si="17"/>
        <v>1000</v>
      </c>
      <c r="O343" s="1311">
        <v>0</v>
      </c>
      <c r="P343" s="1310">
        <v>0</v>
      </c>
      <c r="Q343" s="1310">
        <v>0</v>
      </c>
      <c r="R343" s="1049">
        <v>0</v>
      </c>
      <c r="S343" s="1051">
        <v>0</v>
      </c>
      <c r="T343" s="1713">
        <v>6155</v>
      </c>
      <c r="U343" s="1060">
        <v>18300</v>
      </c>
      <c r="V343" s="1060">
        <v>223200</v>
      </c>
      <c r="W343" s="689" t="s">
        <v>1584</v>
      </c>
      <c r="X343" s="657" t="s">
        <v>22</v>
      </c>
      <c r="Y343" s="1061" t="s">
        <v>27</v>
      </c>
      <c r="Z343" s="1061" t="s">
        <v>838</v>
      </c>
      <c r="AA343" s="1062" t="s">
        <v>838</v>
      </c>
    </row>
    <row r="344" spans="1:27" ht="45" x14ac:dyDescent="0.25">
      <c r="A344" s="86" t="s">
        <v>382</v>
      </c>
      <c r="B344" s="120" t="s">
        <v>859</v>
      </c>
      <c r="C344" s="4">
        <v>2019</v>
      </c>
      <c r="D344" s="4" t="s">
        <v>811</v>
      </c>
      <c r="E344" s="66" t="s">
        <v>324</v>
      </c>
      <c r="F344" s="91" t="s">
        <v>324</v>
      </c>
      <c r="G344" s="1971" t="s">
        <v>383</v>
      </c>
      <c r="H344" s="1">
        <v>1118.3585399999999</v>
      </c>
      <c r="I344" s="221">
        <v>0</v>
      </c>
      <c r="J344" s="1">
        <v>745.24479000000008</v>
      </c>
      <c r="K344" s="629">
        <f>274.35854+820.001-721.24579</f>
        <v>373.11374999999987</v>
      </c>
      <c r="L344" s="381">
        <v>1118.3585399999999</v>
      </c>
      <c r="M344" s="259">
        <v>0</v>
      </c>
      <c r="N344" s="256">
        <f t="shared" si="17"/>
        <v>1118.3585399999999</v>
      </c>
      <c r="O344" s="41">
        <v>0</v>
      </c>
      <c r="P344" s="3">
        <v>0</v>
      </c>
      <c r="Q344" s="3">
        <v>0</v>
      </c>
      <c r="R344" s="748">
        <v>0</v>
      </c>
      <c r="S344" s="28">
        <v>0</v>
      </c>
      <c r="T344" s="44">
        <v>0</v>
      </c>
      <c r="U344" s="45">
        <v>0</v>
      </c>
      <c r="V344" s="45">
        <v>0</v>
      </c>
      <c r="W344" s="4" t="s">
        <v>784</v>
      </c>
      <c r="X344" s="1972" t="s">
        <v>48</v>
      </c>
      <c r="Y344" s="1973" t="s">
        <v>312</v>
      </c>
      <c r="Z344" s="1974" t="s">
        <v>839</v>
      </c>
      <c r="AA344" s="751" t="s">
        <v>839</v>
      </c>
    </row>
    <row r="345" spans="1:27" ht="25.5" x14ac:dyDescent="0.25">
      <c r="A345" s="77" t="s">
        <v>384</v>
      </c>
      <c r="B345" s="88" t="s">
        <v>860</v>
      </c>
      <c r="C345" s="5">
        <v>2019</v>
      </c>
      <c r="D345" s="5" t="s">
        <v>811</v>
      </c>
      <c r="E345" s="69" t="s">
        <v>359</v>
      </c>
      <c r="F345" s="70" t="s">
        <v>359</v>
      </c>
      <c r="G345" s="165" t="s">
        <v>385</v>
      </c>
      <c r="H345" s="17">
        <v>900.38499999999999</v>
      </c>
      <c r="I345" s="13">
        <v>0</v>
      </c>
      <c r="J345" s="17">
        <v>0</v>
      </c>
      <c r="K345" s="437">
        <v>900.38499999999999</v>
      </c>
      <c r="L345" s="59">
        <v>900.38499999999999</v>
      </c>
      <c r="M345" s="249">
        <v>0</v>
      </c>
      <c r="N345" s="250">
        <f t="shared" si="17"/>
        <v>900.38499999999999</v>
      </c>
      <c r="O345" s="36">
        <v>0</v>
      </c>
      <c r="P345" s="19">
        <v>0</v>
      </c>
      <c r="Q345" s="19">
        <v>0</v>
      </c>
      <c r="R345" s="434">
        <v>0</v>
      </c>
      <c r="S345" s="30">
        <v>0</v>
      </c>
      <c r="T345" s="42">
        <v>0</v>
      </c>
      <c r="U345" s="43">
        <v>0</v>
      </c>
      <c r="V345" s="43">
        <v>0</v>
      </c>
      <c r="W345" s="5" t="s">
        <v>784</v>
      </c>
      <c r="X345" s="55" t="s">
        <v>48</v>
      </c>
      <c r="Y345" s="267" t="s">
        <v>312</v>
      </c>
      <c r="Z345" s="316" t="s">
        <v>839</v>
      </c>
      <c r="AA345" s="575" t="s">
        <v>838</v>
      </c>
    </row>
    <row r="346" spans="1:27" ht="30" x14ac:dyDescent="0.25">
      <c r="A346" s="1306" t="s">
        <v>386</v>
      </c>
      <c r="B346" s="1043" t="s">
        <v>861</v>
      </c>
      <c r="C346" s="657">
        <v>2019</v>
      </c>
      <c r="D346" s="657" t="s">
        <v>811</v>
      </c>
      <c r="E346" s="1045" t="s">
        <v>310</v>
      </c>
      <c r="F346" s="1046" t="s">
        <v>310</v>
      </c>
      <c r="G346" s="1047" t="s">
        <v>387</v>
      </c>
      <c r="H346" s="813">
        <v>11500</v>
      </c>
      <c r="I346" s="721">
        <v>0</v>
      </c>
      <c r="J346" s="813">
        <v>0</v>
      </c>
      <c r="K346" s="1050">
        <v>0</v>
      </c>
      <c r="L346" s="1051">
        <v>500</v>
      </c>
      <c r="M346" s="1052">
        <v>-500</v>
      </c>
      <c r="N346" s="1053">
        <f t="shared" si="17"/>
        <v>0</v>
      </c>
      <c r="O346" s="1311">
        <v>0</v>
      </c>
      <c r="P346" s="1310">
        <v>0</v>
      </c>
      <c r="Q346" s="1310">
        <v>0</v>
      </c>
      <c r="R346" s="1049">
        <v>0</v>
      </c>
      <c r="S346" s="1051">
        <v>0</v>
      </c>
      <c r="T346" s="1713">
        <v>1000</v>
      </c>
      <c r="U346" s="1060">
        <v>10500</v>
      </c>
      <c r="V346" s="1060">
        <v>0</v>
      </c>
      <c r="W346" s="657" t="s">
        <v>1585</v>
      </c>
      <c r="X346" s="689" t="s">
        <v>22</v>
      </c>
      <c r="Y346" s="1061" t="s">
        <v>27</v>
      </c>
      <c r="Z346" s="1714" t="s">
        <v>838</v>
      </c>
      <c r="AA346" s="1715" t="s">
        <v>838</v>
      </c>
    </row>
    <row r="347" spans="1:27" ht="30" customHeight="1" x14ac:dyDescent="0.25">
      <c r="A347" s="1042" t="s">
        <v>388</v>
      </c>
      <c r="B347" s="1043" t="s">
        <v>862</v>
      </c>
      <c r="C347" s="657">
        <v>2019</v>
      </c>
      <c r="D347" s="657" t="s">
        <v>811</v>
      </c>
      <c r="E347" s="1045" t="s">
        <v>342</v>
      </c>
      <c r="F347" s="1046" t="s">
        <v>349</v>
      </c>
      <c r="G347" s="1047" t="s">
        <v>389</v>
      </c>
      <c r="H347" s="813">
        <v>46500</v>
      </c>
      <c r="I347" s="721">
        <v>0</v>
      </c>
      <c r="J347" s="813">
        <v>0</v>
      </c>
      <c r="K347" s="1050">
        <v>1500</v>
      </c>
      <c r="L347" s="1051">
        <v>6500</v>
      </c>
      <c r="M347" s="1052">
        <v>-5000</v>
      </c>
      <c r="N347" s="1053">
        <f t="shared" si="17"/>
        <v>1500</v>
      </c>
      <c r="O347" s="1311">
        <v>0</v>
      </c>
      <c r="P347" s="1310">
        <v>0</v>
      </c>
      <c r="Q347" s="1310">
        <v>0</v>
      </c>
      <c r="R347" s="1049">
        <v>0</v>
      </c>
      <c r="S347" s="1051">
        <v>0</v>
      </c>
      <c r="T347" s="1713">
        <v>10000</v>
      </c>
      <c r="U347" s="1060">
        <v>18500</v>
      </c>
      <c r="V347" s="1060">
        <v>16500</v>
      </c>
      <c r="W347" s="657" t="s">
        <v>1586</v>
      </c>
      <c r="X347" s="689" t="s">
        <v>16</v>
      </c>
      <c r="Y347" s="1061" t="s">
        <v>571</v>
      </c>
      <c r="Z347" s="1714" t="s">
        <v>838</v>
      </c>
      <c r="AA347" s="1715" t="s">
        <v>838</v>
      </c>
    </row>
    <row r="348" spans="1:27" ht="30" x14ac:dyDescent="0.25">
      <c r="A348" s="68" t="s">
        <v>390</v>
      </c>
      <c r="B348" s="88" t="s">
        <v>863</v>
      </c>
      <c r="C348" s="5">
        <v>2019</v>
      </c>
      <c r="D348" s="5" t="s">
        <v>811</v>
      </c>
      <c r="E348" s="69" t="s">
        <v>391</v>
      </c>
      <c r="F348" s="70" t="s">
        <v>391</v>
      </c>
      <c r="G348" s="165" t="s">
        <v>392</v>
      </c>
      <c r="H348" s="17">
        <v>7499.5144399999999</v>
      </c>
      <c r="I348" s="13">
        <v>0</v>
      </c>
      <c r="J348" s="17">
        <v>0</v>
      </c>
      <c r="K348" s="437">
        <v>3250</v>
      </c>
      <c r="L348" s="59">
        <v>3250</v>
      </c>
      <c r="M348" s="249">
        <v>0</v>
      </c>
      <c r="N348" s="250">
        <f t="shared" si="17"/>
        <v>3250</v>
      </c>
      <c r="O348" s="36">
        <v>0</v>
      </c>
      <c r="P348" s="19">
        <v>0</v>
      </c>
      <c r="Q348" s="19">
        <v>0</v>
      </c>
      <c r="R348" s="434">
        <v>0</v>
      </c>
      <c r="S348" s="30">
        <v>0</v>
      </c>
      <c r="T348" s="42">
        <v>4249.5144399999999</v>
      </c>
      <c r="U348" s="43">
        <v>0</v>
      </c>
      <c r="V348" s="43">
        <v>0</v>
      </c>
      <c r="W348" s="5" t="s">
        <v>991</v>
      </c>
      <c r="X348" s="55" t="s">
        <v>22</v>
      </c>
      <c r="Y348" s="267" t="s">
        <v>27</v>
      </c>
      <c r="Z348" s="316" t="s">
        <v>838</v>
      </c>
      <c r="AA348" s="575" t="s">
        <v>838</v>
      </c>
    </row>
    <row r="349" spans="1:27" s="705" customFormat="1" ht="30" x14ac:dyDescent="0.25">
      <c r="A349" s="77" t="s">
        <v>393</v>
      </c>
      <c r="B349" s="88" t="s">
        <v>864</v>
      </c>
      <c r="C349" s="5">
        <v>2019</v>
      </c>
      <c r="D349" s="5" t="s">
        <v>811</v>
      </c>
      <c r="E349" s="69" t="s">
        <v>303</v>
      </c>
      <c r="F349" s="70" t="s">
        <v>303</v>
      </c>
      <c r="G349" s="165" t="s">
        <v>801</v>
      </c>
      <c r="H349" s="17">
        <v>50410.85</v>
      </c>
      <c r="I349" s="13">
        <v>0</v>
      </c>
      <c r="J349" s="17">
        <v>0</v>
      </c>
      <c r="K349" s="437">
        <v>0</v>
      </c>
      <c r="L349" s="59">
        <v>0</v>
      </c>
      <c r="M349" s="249">
        <v>0</v>
      </c>
      <c r="N349" s="250">
        <f t="shared" si="17"/>
        <v>0</v>
      </c>
      <c r="O349" s="36">
        <v>0</v>
      </c>
      <c r="P349" s="19">
        <v>0</v>
      </c>
      <c r="Q349" s="19">
        <v>0</v>
      </c>
      <c r="R349" s="434">
        <v>0</v>
      </c>
      <c r="S349" s="30">
        <v>0</v>
      </c>
      <c r="T349" s="42">
        <v>3630</v>
      </c>
      <c r="U349" s="43">
        <v>16370</v>
      </c>
      <c r="V349" s="43">
        <v>30410.85</v>
      </c>
      <c r="W349" s="5" t="s">
        <v>784</v>
      </c>
      <c r="X349" s="55" t="s">
        <v>16</v>
      </c>
      <c r="Y349" s="267" t="s">
        <v>571</v>
      </c>
      <c r="Z349" s="316" t="s">
        <v>838</v>
      </c>
      <c r="AA349" s="575" t="s">
        <v>838</v>
      </c>
    </row>
    <row r="350" spans="1:27" ht="30" customHeight="1" x14ac:dyDescent="0.25">
      <c r="A350" s="77" t="s">
        <v>394</v>
      </c>
      <c r="B350" s="88" t="s">
        <v>866</v>
      </c>
      <c r="C350" s="5">
        <v>2019</v>
      </c>
      <c r="D350" s="5" t="s">
        <v>811</v>
      </c>
      <c r="E350" s="69" t="s">
        <v>343</v>
      </c>
      <c r="F350" s="70" t="s">
        <v>343</v>
      </c>
      <c r="G350" s="165" t="s">
        <v>395</v>
      </c>
      <c r="H350" s="17">
        <v>8500</v>
      </c>
      <c r="I350" s="13">
        <v>0</v>
      </c>
      <c r="J350" s="17">
        <v>165.77</v>
      </c>
      <c r="K350" s="437">
        <f>N350-J350</f>
        <v>34.230000000000445</v>
      </c>
      <c r="L350" s="59">
        <v>200.00000000000045</v>
      </c>
      <c r="M350" s="249">
        <v>0</v>
      </c>
      <c r="N350" s="250">
        <f t="shared" si="17"/>
        <v>200.00000000000045</v>
      </c>
      <c r="O350" s="36">
        <v>0</v>
      </c>
      <c r="P350" s="19">
        <v>0</v>
      </c>
      <c r="Q350" s="19">
        <v>0</v>
      </c>
      <c r="R350" s="434">
        <v>0</v>
      </c>
      <c r="S350" s="30">
        <v>0</v>
      </c>
      <c r="T350" s="42">
        <v>2800</v>
      </c>
      <c r="U350" s="43">
        <v>5500</v>
      </c>
      <c r="V350" s="43">
        <v>0</v>
      </c>
      <c r="W350" s="5" t="s">
        <v>1258</v>
      </c>
      <c r="X350" s="55" t="s">
        <v>22</v>
      </c>
      <c r="Y350" s="267" t="s">
        <v>571</v>
      </c>
      <c r="Z350" s="316" t="s">
        <v>838</v>
      </c>
      <c r="AA350" s="575" t="s">
        <v>838</v>
      </c>
    </row>
    <row r="351" spans="1:27" ht="25.5" x14ac:dyDescent="0.25">
      <c r="A351" s="77" t="s">
        <v>396</v>
      </c>
      <c r="B351" s="88" t="s">
        <v>867</v>
      </c>
      <c r="C351" s="5">
        <v>2019</v>
      </c>
      <c r="D351" s="5" t="s">
        <v>811</v>
      </c>
      <c r="E351" s="69" t="s">
        <v>343</v>
      </c>
      <c r="F351" s="70" t="s">
        <v>343</v>
      </c>
      <c r="G351" s="165" t="s">
        <v>397</v>
      </c>
      <c r="H351" s="17">
        <v>570</v>
      </c>
      <c r="I351" s="13">
        <v>0</v>
      </c>
      <c r="J351" s="17">
        <v>0</v>
      </c>
      <c r="K351" s="437">
        <v>570</v>
      </c>
      <c r="L351" s="59">
        <v>570</v>
      </c>
      <c r="M351" s="249">
        <v>0</v>
      </c>
      <c r="N351" s="250">
        <f t="shared" si="17"/>
        <v>570</v>
      </c>
      <c r="O351" s="36">
        <v>0</v>
      </c>
      <c r="P351" s="19">
        <v>0</v>
      </c>
      <c r="Q351" s="19">
        <v>0</v>
      </c>
      <c r="R351" s="434">
        <v>0</v>
      </c>
      <c r="S351" s="30">
        <v>0</v>
      </c>
      <c r="T351" s="42">
        <v>0</v>
      </c>
      <c r="U351" s="43">
        <v>0</v>
      </c>
      <c r="V351" s="43">
        <v>0</v>
      </c>
      <c r="W351" s="5" t="s">
        <v>784</v>
      </c>
      <c r="X351" s="55" t="s">
        <v>22</v>
      </c>
      <c r="Y351" s="267" t="s">
        <v>27</v>
      </c>
      <c r="Z351" s="316" t="s">
        <v>838</v>
      </c>
      <c r="AA351" s="575" t="s">
        <v>838</v>
      </c>
    </row>
    <row r="352" spans="1:27" s="686" customFormat="1" ht="25.5" x14ac:dyDescent="0.25">
      <c r="A352" s="1067" t="s">
        <v>398</v>
      </c>
      <c r="B352" s="1068" t="s">
        <v>868</v>
      </c>
      <c r="C352" s="699">
        <v>2019</v>
      </c>
      <c r="D352" s="699" t="s">
        <v>811</v>
      </c>
      <c r="E352" s="1078" t="s">
        <v>302</v>
      </c>
      <c r="F352" s="1079" t="s">
        <v>852</v>
      </c>
      <c r="G352" s="1080" t="s">
        <v>399</v>
      </c>
      <c r="H352" s="700">
        <v>87.241</v>
      </c>
      <c r="I352" s="702">
        <v>0</v>
      </c>
      <c r="J352" s="700">
        <v>0</v>
      </c>
      <c r="K352" s="1071">
        <v>87.241</v>
      </c>
      <c r="L352" s="1072">
        <v>200</v>
      </c>
      <c r="M352" s="1021">
        <v>-112.759</v>
      </c>
      <c r="N352" s="1073">
        <f t="shared" si="17"/>
        <v>87.241</v>
      </c>
      <c r="O352" s="1081">
        <v>0</v>
      </c>
      <c r="P352" s="1082">
        <v>0</v>
      </c>
      <c r="Q352" s="1082">
        <v>0</v>
      </c>
      <c r="R352" s="1070">
        <v>0</v>
      </c>
      <c r="S352" s="1083">
        <v>0</v>
      </c>
      <c r="T352" s="1084">
        <v>0</v>
      </c>
      <c r="U352" s="1076">
        <v>0</v>
      </c>
      <c r="V352" s="1076">
        <v>0</v>
      </c>
      <c r="W352" s="699" t="s">
        <v>1554</v>
      </c>
      <c r="X352" s="701" t="s">
        <v>877</v>
      </c>
      <c r="Y352" s="1085" t="s">
        <v>1429</v>
      </c>
      <c r="Z352" s="1086" t="s">
        <v>839</v>
      </c>
      <c r="AA352" s="1087" t="s">
        <v>839</v>
      </c>
    </row>
    <row r="353" spans="1:27" s="703" customFormat="1" ht="25.5" x14ac:dyDescent="0.25">
      <c r="A353" s="79" t="s">
        <v>400</v>
      </c>
      <c r="B353" s="119" t="s">
        <v>869</v>
      </c>
      <c r="C353" s="72">
        <v>2019</v>
      </c>
      <c r="D353" s="72" t="s">
        <v>811</v>
      </c>
      <c r="E353" s="73" t="s">
        <v>391</v>
      </c>
      <c r="F353" s="81" t="s">
        <v>391</v>
      </c>
      <c r="G353" s="168" t="s">
        <v>401</v>
      </c>
      <c r="H353" s="22">
        <v>146.23500000000001</v>
      </c>
      <c r="I353" s="522">
        <v>0</v>
      </c>
      <c r="J353" s="22">
        <v>146.23500000000001</v>
      </c>
      <c r="K353" s="455">
        <v>0</v>
      </c>
      <c r="L353" s="460">
        <v>146.23500000000001</v>
      </c>
      <c r="M353" s="539">
        <v>0</v>
      </c>
      <c r="N353" s="312">
        <f t="shared" si="17"/>
        <v>146.23500000000001</v>
      </c>
      <c r="O353" s="37">
        <v>0</v>
      </c>
      <c r="P353" s="24">
        <v>0</v>
      </c>
      <c r="Q353" s="24">
        <v>0</v>
      </c>
      <c r="R353" s="456">
        <v>0</v>
      </c>
      <c r="S353" s="40">
        <v>0</v>
      </c>
      <c r="T353" s="313">
        <v>0</v>
      </c>
      <c r="U353" s="314">
        <v>0</v>
      </c>
      <c r="V353" s="314">
        <v>0</v>
      </c>
      <c r="W353" s="72" t="s">
        <v>784</v>
      </c>
      <c r="X353" s="118" t="s">
        <v>877</v>
      </c>
      <c r="Y353" s="315" t="s">
        <v>756</v>
      </c>
      <c r="Z353" s="403" t="s">
        <v>839</v>
      </c>
      <c r="AA353" s="576" t="s">
        <v>839</v>
      </c>
    </row>
    <row r="354" spans="1:27" ht="30" x14ac:dyDescent="0.25">
      <c r="A354" s="77" t="s">
        <v>402</v>
      </c>
      <c r="B354" s="88" t="s">
        <v>871</v>
      </c>
      <c r="C354" s="5">
        <v>2019</v>
      </c>
      <c r="D354" s="5" t="s">
        <v>811</v>
      </c>
      <c r="E354" s="69" t="s">
        <v>352</v>
      </c>
      <c r="F354" s="70" t="s">
        <v>352</v>
      </c>
      <c r="G354" s="165" t="s">
        <v>403</v>
      </c>
      <c r="H354" s="17">
        <v>279.75200000000001</v>
      </c>
      <c r="I354" s="13">
        <v>0</v>
      </c>
      <c r="J354" s="17">
        <v>0</v>
      </c>
      <c r="K354" s="437">
        <v>279.75200000000001</v>
      </c>
      <c r="L354" s="59">
        <v>279.75200000000001</v>
      </c>
      <c r="M354" s="249">
        <v>0</v>
      </c>
      <c r="N354" s="250">
        <f t="shared" si="17"/>
        <v>279.75200000000001</v>
      </c>
      <c r="O354" s="36">
        <v>0</v>
      </c>
      <c r="P354" s="19">
        <v>0</v>
      </c>
      <c r="Q354" s="19">
        <v>0</v>
      </c>
      <c r="R354" s="434">
        <v>0</v>
      </c>
      <c r="S354" s="30">
        <v>0</v>
      </c>
      <c r="T354" s="42">
        <v>0</v>
      </c>
      <c r="U354" s="43">
        <v>0</v>
      </c>
      <c r="V354" s="43">
        <v>0</v>
      </c>
      <c r="W354" s="5" t="s">
        <v>784</v>
      </c>
      <c r="X354" s="55" t="s">
        <v>48</v>
      </c>
      <c r="Y354" s="267" t="s">
        <v>312</v>
      </c>
      <c r="Z354" s="316" t="s">
        <v>839</v>
      </c>
      <c r="AA354" s="575" t="s">
        <v>839</v>
      </c>
    </row>
    <row r="355" spans="1:27" ht="30" x14ac:dyDescent="0.25">
      <c r="A355" s="77" t="s">
        <v>404</v>
      </c>
      <c r="B355" s="88" t="s">
        <v>872</v>
      </c>
      <c r="C355" s="5">
        <v>2019</v>
      </c>
      <c r="D355" s="5" t="s">
        <v>811</v>
      </c>
      <c r="E355" s="69" t="s">
        <v>324</v>
      </c>
      <c r="F355" s="70" t="s">
        <v>324</v>
      </c>
      <c r="G355" s="165" t="s">
        <v>405</v>
      </c>
      <c r="H355" s="17">
        <v>350</v>
      </c>
      <c r="I355" s="13">
        <v>0</v>
      </c>
      <c r="J355" s="17">
        <v>36.299999999999997</v>
      </c>
      <c r="K355" s="437">
        <v>313.7</v>
      </c>
      <c r="L355" s="59">
        <v>350</v>
      </c>
      <c r="M355" s="249">
        <v>0</v>
      </c>
      <c r="N355" s="250">
        <f t="shared" si="17"/>
        <v>350</v>
      </c>
      <c r="O355" s="36">
        <v>0</v>
      </c>
      <c r="P355" s="19">
        <v>0</v>
      </c>
      <c r="Q355" s="19">
        <v>0</v>
      </c>
      <c r="R355" s="434">
        <v>0</v>
      </c>
      <c r="S355" s="30">
        <v>0</v>
      </c>
      <c r="T355" s="42">
        <v>0</v>
      </c>
      <c r="U355" s="43">
        <v>0</v>
      </c>
      <c r="V355" s="43">
        <v>0</v>
      </c>
      <c r="W355" s="5" t="s">
        <v>784</v>
      </c>
      <c r="X355" s="55" t="s">
        <v>48</v>
      </c>
      <c r="Y355" s="267" t="s">
        <v>312</v>
      </c>
      <c r="Z355" s="316" t="s">
        <v>838</v>
      </c>
      <c r="AA355" s="575" t="s">
        <v>838</v>
      </c>
    </row>
    <row r="356" spans="1:27" ht="30" x14ac:dyDescent="0.25">
      <c r="A356" s="68" t="s">
        <v>406</v>
      </c>
      <c r="B356" s="88" t="s">
        <v>873</v>
      </c>
      <c r="C356" s="5">
        <v>2019</v>
      </c>
      <c r="D356" s="5" t="s">
        <v>811</v>
      </c>
      <c r="E356" s="69" t="s">
        <v>407</v>
      </c>
      <c r="F356" s="70" t="s">
        <v>407</v>
      </c>
      <c r="G356" s="165" t="s">
        <v>408</v>
      </c>
      <c r="H356" s="17">
        <v>9000</v>
      </c>
      <c r="I356" s="13">
        <v>0</v>
      </c>
      <c r="J356" s="17">
        <v>0</v>
      </c>
      <c r="K356" s="437">
        <v>0</v>
      </c>
      <c r="L356" s="59">
        <v>0</v>
      </c>
      <c r="M356" s="249">
        <v>0</v>
      </c>
      <c r="N356" s="250">
        <f t="shared" si="17"/>
        <v>0</v>
      </c>
      <c r="O356" s="36">
        <v>0</v>
      </c>
      <c r="P356" s="19">
        <v>0</v>
      </c>
      <c r="Q356" s="19">
        <v>0</v>
      </c>
      <c r="R356" s="434">
        <v>0</v>
      </c>
      <c r="S356" s="30">
        <v>0</v>
      </c>
      <c r="T356" s="42">
        <v>4000</v>
      </c>
      <c r="U356" s="43">
        <v>5000</v>
      </c>
      <c r="V356" s="43">
        <v>0</v>
      </c>
      <c r="W356" s="5" t="s">
        <v>784</v>
      </c>
      <c r="X356" s="55" t="s">
        <v>22</v>
      </c>
      <c r="Y356" s="267" t="s">
        <v>731</v>
      </c>
      <c r="Z356" s="316" t="s">
        <v>838</v>
      </c>
      <c r="AA356" s="575" t="s">
        <v>838</v>
      </c>
    </row>
    <row r="357" spans="1:27" s="703" customFormat="1" ht="30.75" thickBot="1" x14ac:dyDescent="0.3">
      <c r="A357" s="202" t="s">
        <v>776</v>
      </c>
      <c r="B357" s="763" t="s">
        <v>874</v>
      </c>
      <c r="C357" s="194">
        <v>2019</v>
      </c>
      <c r="D357" s="194" t="s">
        <v>811</v>
      </c>
      <c r="E357" s="534" t="s">
        <v>339</v>
      </c>
      <c r="F357" s="534" t="s">
        <v>853</v>
      </c>
      <c r="G357" s="1088" t="s">
        <v>777</v>
      </c>
      <c r="H357" s="205">
        <v>266.19486000000001</v>
      </c>
      <c r="I357" s="961">
        <v>0</v>
      </c>
      <c r="J357" s="205">
        <v>266.19486000000001</v>
      </c>
      <c r="K357" s="2080">
        <v>0</v>
      </c>
      <c r="L357" s="567">
        <v>266.19486000000001</v>
      </c>
      <c r="M357" s="568">
        <v>0</v>
      </c>
      <c r="N357" s="535">
        <f t="shared" si="17"/>
        <v>266.19486000000001</v>
      </c>
      <c r="O357" s="764">
        <v>0</v>
      </c>
      <c r="P357" s="206">
        <v>0</v>
      </c>
      <c r="Q357" s="206">
        <v>0</v>
      </c>
      <c r="R357" s="566">
        <v>0</v>
      </c>
      <c r="S357" s="569">
        <v>0</v>
      </c>
      <c r="T357" s="765">
        <v>0</v>
      </c>
      <c r="U357" s="766">
        <v>0</v>
      </c>
      <c r="V357" s="766">
        <v>0</v>
      </c>
      <c r="W357" s="194" t="s">
        <v>784</v>
      </c>
      <c r="X357" s="964" t="s">
        <v>877</v>
      </c>
      <c r="Y357" s="537" t="s">
        <v>329</v>
      </c>
      <c r="Z357" s="767" t="s">
        <v>839</v>
      </c>
      <c r="AA357" s="768" t="s">
        <v>839</v>
      </c>
    </row>
    <row r="358" spans="1:27" ht="30.75" thickBot="1" x14ac:dyDescent="0.3">
      <c r="A358" s="523" t="s">
        <v>875</v>
      </c>
      <c r="B358" s="524" t="s">
        <v>992</v>
      </c>
      <c r="C358" s="61">
        <v>2019</v>
      </c>
      <c r="D358" s="61" t="s">
        <v>936</v>
      </c>
      <c r="E358" s="525" t="s">
        <v>363</v>
      </c>
      <c r="F358" s="1089" t="s">
        <v>363</v>
      </c>
      <c r="G358" s="1090" t="s">
        <v>876</v>
      </c>
      <c r="H358" s="142">
        <v>870.2</v>
      </c>
      <c r="I358" s="1375">
        <v>0</v>
      </c>
      <c r="J358" s="142">
        <v>0</v>
      </c>
      <c r="K358" s="488">
        <v>870.2</v>
      </c>
      <c r="L358" s="466">
        <v>870.2</v>
      </c>
      <c r="M358" s="526">
        <v>0</v>
      </c>
      <c r="N358" s="527">
        <f t="shared" si="17"/>
        <v>870.2</v>
      </c>
      <c r="O358" s="605">
        <v>0</v>
      </c>
      <c r="P358" s="60">
        <v>0</v>
      </c>
      <c r="Q358" s="60">
        <v>0</v>
      </c>
      <c r="R358" s="487">
        <v>0</v>
      </c>
      <c r="S358" s="528">
        <v>0</v>
      </c>
      <c r="T358" s="529">
        <v>0</v>
      </c>
      <c r="U358" s="530">
        <v>0</v>
      </c>
      <c r="V358" s="530">
        <v>0</v>
      </c>
      <c r="W358" s="61" t="s">
        <v>784</v>
      </c>
      <c r="X358" s="531" t="s">
        <v>48</v>
      </c>
      <c r="Y358" s="532" t="s">
        <v>312</v>
      </c>
      <c r="Z358" s="533" t="s">
        <v>839</v>
      </c>
      <c r="AA358" s="577" t="s">
        <v>838</v>
      </c>
    </row>
    <row r="359" spans="1:27" ht="30.75" thickBot="1" x14ac:dyDescent="0.3">
      <c r="A359" s="1693" t="s">
        <v>993</v>
      </c>
      <c r="B359" s="1716" t="s">
        <v>1430</v>
      </c>
      <c r="C359" s="1695">
        <v>2019</v>
      </c>
      <c r="D359" s="1695" t="s">
        <v>1175</v>
      </c>
      <c r="E359" s="1696" t="s">
        <v>310</v>
      </c>
      <c r="F359" s="1717" t="s">
        <v>310</v>
      </c>
      <c r="G359" s="1718" t="s">
        <v>994</v>
      </c>
      <c r="H359" s="1698">
        <v>1936</v>
      </c>
      <c r="I359" s="1815">
        <v>0</v>
      </c>
      <c r="J359" s="1699">
        <v>0</v>
      </c>
      <c r="K359" s="1719">
        <v>70</v>
      </c>
      <c r="L359" s="1702">
        <v>1936</v>
      </c>
      <c r="M359" s="1406">
        <v>-1866</v>
      </c>
      <c r="N359" s="1720">
        <f t="shared" si="17"/>
        <v>70</v>
      </c>
      <c r="O359" s="1704">
        <v>0</v>
      </c>
      <c r="P359" s="1705">
        <v>0</v>
      </c>
      <c r="Q359" s="1705">
        <v>0</v>
      </c>
      <c r="R359" s="1700">
        <v>0</v>
      </c>
      <c r="S359" s="1702">
        <v>0</v>
      </c>
      <c r="T359" s="1721">
        <v>1866</v>
      </c>
      <c r="U359" s="1722">
        <v>0</v>
      </c>
      <c r="V359" s="1722">
        <v>0</v>
      </c>
      <c r="W359" s="689" t="s">
        <v>1584</v>
      </c>
      <c r="X359" s="1707" t="s">
        <v>22</v>
      </c>
      <c r="Y359" s="1723" t="s">
        <v>571</v>
      </c>
      <c r="Z359" s="1724" t="s">
        <v>838</v>
      </c>
      <c r="AA359" s="1725" t="s">
        <v>838</v>
      </c>
    </row>
    <row r="360" spans="1:27" ht="25.5" x14ac:dyDescent="0.25">
      <c r="A360" s="65" t="s">
        <v>1185</v>
      </c>
      <c r="B360" s="120" t="s">
        <v>1431</v>
      </c>
      <c r="C360" s="4">
        <v>2019</v>
      </c>
      <c r="D360" s="4" t="s">
        <v>1256</v>
      </c>
      <c r="E360" s="66" t="s">
        <v>14</v>
      </c>
      <c r="F360" s="91" t="s">
        <v>14</v>
      </c>
      <c r="G360" s="1077" t="s">
        <v>1186</v>
      </c>
      <c r="H360" s="1">
        <v>700</v>
      </c>
      <c r="I360" s="221">
        <v>0</v>
      </c>
      <c r="J360" s="1">
        <v>0</v>
      </c>
      <c r="K360" s="185">
        <v>700</v>
      </c>
      <c r="L360" s="730">
        <v>700</v>
      </c>
      <c r="M360" s="259">
        <v>0</v>
      </c>
      <c r="N360" s="381">
        <f t="shared" si="17"/>
        <v>700</v>
      </c>
      <c r="O360" s="41">
        <v>0</v>
      </c>
      <c r="P360" s="3">
        <v>0</v>
      </c>
      <c r="Q360" s="3">
        <v>0</v>
      </c>
      <c r="R360" s="748">
        <v>0</v>
      </c>
      <c r="S360" s="28">
        <v>0</v>
      </c>
      <c r="T360" s="44">
        <v>0</v>
      </c>
      <c r="U360" s="45">
        <v>0</v>
      </c>
      <c r="V360" s="45">
        <v>0</v>
      </c>
      <c r="W360" s="4" t="s">
        <v>784</v>
      </c>
      <c r="X360" s="124" t="s">
        <v>22</v>
      </c>
      <c r="Y360" s="110" t="s">
        <v>27</v>
      </c>
      <c r="Z360" s="1963" t="s">
        <v>838</v>
      </c>
      <c r="AA360" s="751" t="s">
        <v>838</v>
      </c>
    </row>
    <row r="361" spans="1:27" ht="30" x14ac:dyDescent="0.25">
      <c r="A361" s="826" t="s">
        <v>1187</v>
      </c>
      <c r="B361" s="827" t="s">
        <v>1432</v>
      </c>
      <c r="C361" s="822">
        <v>2019</v>
      </c>
      <c r="D361" s="822" t="s">
        <v>1256</v>
      </c>
      <c r="E361" s="1091" t="s">
        <v>349</v>
      </c>
      <c r="F361" s="1092" t="s">
        <v>349</v>
      </c>
      <c r="G361" s="1093" t="s">
        <v>1188</v>
      </c>
      <c r="H361" s="512">
        <v>2400</v>
      </c>
      <c r="I361" s="724">
        <v>0</v>
      </c>
      <c r="J361" s="521">
        <v>0</v>
      </c>
      <c r="K361" s="968">
        <v>2400</v>
      </c>
      <c r="L361" s="1885">
        <v>1900</v>
      </c>
      <c r="M361" s="831">
        <v>500</v>
      </c>
      <c r="N361" s="1095">
        <f t="shared" si="17"/>
        <v>2400</v>
      </c>
      <c r="O361" s="1096">
        <v>0</v>
      </c>
      <c r="P361" s="833">
        <v>0</v>
      </c>
      <c r="Q361" s="833">
        <v>0</v>
      </c>
      <c r="R361" s="1094">
        <v>0</v>
      </c>
      <c r="S361" s="832">
        <v>0</v>
      </c>
      <c r="T361" s="1097">
        <v>0</v>
      </c>
      <c r="U361" s="1098">
        <v>0</v>
      </c>
      <c r="V361" s="1098">
        <v>0</v>
      </c>
      <c r="W361" s="822" t="s">
        <v>1555</v>
      </c>
      <c r="X361" s="496" t="s">
        <v>48</v>
      </c>
      <c r="Y361" s="865" t="s">
        <v>312</v>
      </c>
      <c r="Z361" s="1099" t="s">
        <v>839</v>
      </c>
      <c r="AA361" s="1100" t="s">
        <v>839</v>
      </c>
    </row>
    <row r="362" spans="1:27" ht="30" x14ac:dyDescent="0.25">
      <c r="A362" s="65" t="s">
        <v>1189</v>
      </c>
      <c r="B362" s="120" t="s">
        <v>1433</v>
      </c>
      <c r="C362" s="4">
        <v>2019</v>
      </c>
      <c r="D362" s="4" t="s">
        <v>1256</v>
      </c>
      <c r="E362" s="66" t="s">
        <v>1190</v>
      </c>
      <c r="F362" s="91" t="s">
        <v>1190</v>
      </c>
      <c r="G362" s="1077" t="s">
        <v>1191</v>
      </c>
      <c r="H362" s="1">
        <v>266</v>
      </c>
      <c r="I362" s="221">
        <v>0</v>
      </c>
      <c r="J362" s="17">
        <v>0</v>
      </c>
      <c r="K362" s="185">
        <v>266</v>
      </c>
      <c r="L362" s="720">
        <v>266</v>
      </c>
      <c r="M362" s="259">
        <v>0</v>
      </c>
      <c r="N362" s="381">
        <f t="shared" si="17"/>
        <v>266</v>
      </c>
      <c r="O362" s="41">
        <v>0</v>
      </c>
      <c r="P362" s="3">
        <v>0</v>
      </c>
      <c r="Q362" s="3">
        <v>0</v>
      </c>
      <c r="R362" s="748">
        <v>0</v>
      </c>
      <c r="S362" s="28">
        <v>0</v>
      </c>
      <c r="T362" s="44">
        <v>0</v>
      </c>
      <c r="U362" s="45">
        <v>0</v>
      </c>
      <c r="V362" s="45">
        <v>0</v>
      </c>
      <c r="W362" s="4" t="s">
        <v>784</v>
      </c>
      <c r="X362" s="124" t="s">
        <v>22</v>
      </c>
      <c r="Y362" s="109" t="s">
        <v>27</v>
      </c>
      <c r="Z362" s="752" t="s">
        <v>838</v>
      </c>
      <c r="AA362" s="751" t="s">
        <v>838</v>
      </c>
    </row>
    <row r="363" spans="1:27" ht="25.5" x14ac:dyDescent="0.25">
      <c r="A363" s="65" t="s">
        <v>1192</v>
      </c>
      <c r="B363" s="120" t="s">
        <v>1434</v>
      </c>
      <c r="C363" s="4">
        <v>2019</v>
      </c>
      <c r="D363" s="4" t="s">
        <v>1256</v>
      </c>
      <c r="E363" s="66" t="s">
        <v>324</v>
      </c>
      <c r="F363" s="91" t="s">
        <v>324</v>
      </c>
      <c r="G363" s="1077" t="s">
        <v>1193</v>
      </c>
      <c r="H363" s="1">
        <v>60.5</v>
      </c>
      <c r="I363" s="221">
        <v>0</v>
      </c>
      <c r="J363" s="17">
        <v>0</v>
      </c>
      <c r="K363" s="185">
        <v>60.5</v>
      </c>
      <c r="L363" s="720">
        <v>60.5</v>
      </c>
      <c r="M363" s="259">
        <v>0</v>
      </c>
      <c r="N363" s="381">
        <f t="shared" si="17"/>
        <v>60.5</v>
      </c>
      <c r="O363" s="41">
        <v>0</v>
      </c>
      <c r="P363" s="3">
        <v>0</v>
      </c>
      <c r="Q363" s="3">
        <v>0</v>
      </c>
      <c r="R363" s="748">
        <v>0</v>
      </c>
      <c r="S363" s="28">
        <v>0</v>
      </c>
      <c r="T363" s="44">
        <v>0</v>
      </c>
      <c r="U363" s="45">
        <v>0</v>
      </c>
      <c r="V363" s="45">
        <v>0</v>
      </c>
      <c r="W363" s="4" t="s">
        <v>784</v>
      </c>
      <c r="X363" s="124" t="s">
        <v>48</v>
      </c>
      <c r="Y363" s="109" t="s">
        <v>312</v>
      </c>
      <c r="Z363" s="752" t="s">
        <v>839</v>
      </c>
      <c r="AA363" s="751" t="s">
        <v>838</v>
      </c>
    </row>
    <row r="364" spans="1:27" ht="30" x14ac:dyDescent="0.25">
      <c r="A364" s="65" t="s">
        <v>1194</v>
      </c>
      <c r="B364" s="120" t="s">
        <v>1435</v>
      </c>
      <c r="C364" s="4">
        <v>2019</v>
      </c>
      <c r="D364" s="4" t="s">
        <v>1256</v>
      </c>
      <c r="E364" s="66" t="s">
        <v>363</v>
      </c>
      <c r="F364" s="91" t="s">
        <v>363</v>
      </c>
      <c r="G364" s="1077" t="s">
        <v>1195</v>
      </c>
      <c r="H364" s="1">
        <v>363</v>
      </c>
      <c r="I364" s="221">
        <v>0</v>
      </c>
      <c r="J364" s="17">
        <v>0</v>
      </c>
      <c r="K364" s="185">
        <v>363</v>
      </c>
      <c r="L364" s="720">
        <v>363</v>
      </c>
      <c r="M364" s="259">
        <v>0</v>
      </c>
      <c r="N364" s="381">
        <f t="shared" si="17"/>
        <v>363</v>
      </c>
      <c r="O364" s="41">
        <v>0</v>
      </c>
      <c r="P364" s="3">
        <v>0</v>
      </c>
      <c r="Q364" s="3">
        <v>0</v>
      </c>
      <c r="R364" s="748">
        <v>0</v>
      </c>
      <c r="S364" s="28">
        <v>0</v>
      </c>
      <c r="T364" s="44">
        <v>0</v>
      </c>
      <c r="U364" s="45">
        <v>0</v>
      </c>
      <c r="V364" s="45">
        <v>0</v>
      </c>
      <c r="W364" s="4" t="s">
        <v>784</v>
      </c>
      <c r="X364" s="124" t="s">
        <v>48</v>
      </c>
      <c r="Y364" s="109" t="s">
        <v>312</v>
      </c>
      <c r="Z364" s="752" t="s">
        <v>839</v>
      </c>
      <c r="AA364" s="751" t="s">
        <v>838</v>
      </c>
    </row>
    <row r="365" spans="1:27" ht="25.5" x14ac:dyDescent="0.25">
      <c r="A365" s="68" t="s">
        <v>1196</v>
      </c>
      <c r="B365" s="88" t="s">
        <v>1436</v>
      </c>
      <c r="C365" s="5">
        <v>2019</v>
      </c>
      <c r="D365" s="4" t="s">
        <v>1256</v>
      </c>
      <c r="E365" s="69" t="s">
        <v>352</v>
      </c>
      <c r="F365" s="70" t="s">
        <v>352</v>
      </c>
      <c r="G365" s="165" t="s">
        <v>1197</v>
      </c>
      <c r="H365" s="17">
        <v>4800</v>
      </c>
      <c r="I365" s="13">
        <v>0</v>
      </c>
      <c r="J365" s="17">
        <v>0</v>
      </c>
      <c r="K365" s="186">
        <v>0</v>
      </c>
      <c r="L365" s="720">
        <v>0</v>
      </c>
      <c r="M365" s="259">
        <v>0</v>
      </c>
      <c r="N365" s="381">
        <f t="shared" si="17"/>
        <v>0</v>
      </c>
      <c r="O365" s="36">
        <v>0</v>
      </c>
      <c r="P365" s="19">
        <v>0</v>
      </c>
      <c r="Q365" s="19">
        <v>0</v>
      </c>
      <c r="R365" s="434">
        <v>0</v>
      </c>
      <c r="S365" s="30">
        <v>0</v>
      </c>
      <c r="T365" s="42">
        <v>400</v>
      </c>
      <c r="U365" s="43">
        <v>4400</v>
      </c>
      <c r="V365" s="43">
        <v>0</v>
      </c>
      <c r="W365" s="5" t="s">
        <v>784</v>
      </c>
      <c r="X365" s="55" t="s">
        <v>22</v>
      </c>
      <c r="Y365" s="107" t="s">
        <v>998</v>
      </c>
      <c r="Z365" s="752" t="s">
        <v>838</v>
      </c>
      <c r="AA365" s="751" t="s">
        <v>838</v>
      </c>
    </row>
    <row r="366" spans="1:27" ht="25.5" x14ac:dyDescent="0.25">
      <c r="A366" s="68" t="s">
        <v>1198</v>
      </c>
      <c r="B366" s="88" t="s">
        <v>1437</v>
      </c>
      <c r="C366" s="5">
        <v>2019</v>
      </c>
      <c r="D366" s="4" t="s">
        <v>1256</v>
      </c>
      <c r="E366" s="69" t="s">
        <v>349</v>
      </c>
      <c r="F366" s="70" t="s">
        <v>349</v>
      </c>
      <c r="G366" s="165" t="s">
        <v>1199</v>
      </c>
      <c r="H366" s="17">
        <v>491.875</v>
      </c>
      <c r="I366" s="13">
        <v>0</v>
      </c>
      <c r="J366" s="17">
        <v>0</v>
      </c>
      <c r="K366" s="186">
        <v>491.875</v>
      </c>
      <c r="L366" s="718">
        <v>491.875</v>
      </c>
      <c r="M366" s="249">
        <v>0</v>
      </c>
      <c r="N366" s="59">
        <f t="shared" si="17"/>
        <v>491.875</v>
      </c>
      <c r="O366" s="36">
        <v>0</v>
      </c>
      <c r="P366" s="19">
        <v>0</v>
      </c>
      <c r="Q366" s="19">
        <v>0</v>
      </c>
      <c r="R366" s="434">
        <v>0</v>
      </c>
      <c r="S366" s="30">
        <v>0</v>
      </c>
      <c r="T366" s="42">
        <v>0</v>
      </c>
      <c r="U366" s="43">
        <v>0</v>
      </c>
      <c r="V366" s="43">
        <v>0</v>
      </c>
      <c r="W366" s="5" t="s">
        <v>784</v>
      </c>
      <c r="X366" s="55" t="s">
        <v>48</v>
      </c>
      <c r="Y366" s="107" t="s">
        <v>312</v>
      </c>
      <c r="Z366" s="752" t="s">
        <v>839</v>
      </c>
      <c r="AA366" s="751" t="s">
        <v>839</v>
      </c>
    </row>
    <row r="367" spans="1:27" ht="25.5" x14ac:dyDescent="0.25">
      <c r="A367" s="68" t="s">
        <v>1220</v>
      </c>
      <c r="B367" s="88" t="s">
        <v>1438</v>
      </c>
      <c r="C367" s="5">
        <v>2019</v>
      </c>
      <c r="D367" s="4" t="s">
        <v>1256</v>
      </c>
      <c r="E367" s="69" t="s">
        <v>349</v>
      </c>
      <c r="F367" s="70" t="s">
        <v>349</v>
      </c>
      <c r="G367" s="165" t="s">
        <v>1221</v>
      </c>
      <c r="H367" s="17">
        <v>900</v>
      </c>
      <c r="I367" s="13">
        <v>0</v>
      </c>
      <c r="J367" s="17">
        <v>0</v>
      </c>
      <c r="K367" s="186">
        <v>900</v>
      </c>
      <c r="L367" s="718">
        <v>900</v>
      </c>
      <c r="M367" s="249">
        <v>0</v>
      </c>
      <c r="N367" s="59">
        <f t="shared" si="17"/>
        <v>900</v>
      </c>
      <c r="O367" s="36">
        <v>0</v>
      </c>
      <c r="P367" s="19">
        <v>0</v>
      </c>
      <c r="Q367" s="19">
        <v>0</v>
      </c>
      <c r="R367" s="434">
        <v>0</v>
      </c>
      <c r="S367" s="30">
        <v>0</v>
      </c>
      <c r="T367" s="42">
        <v>0</v>
      </c>
      <c r="U367" s="43">
        <v>0</v>
      </c>
      <c r="V367" s="43">
        <v>0</v>
      </c>
      <c r="W367" s="5" t="s">
        <v>784</v>
      </c>
      <c r="X367" s="55" t="s">
        <v>22</v>
      </c>
      <c r="Y367" s="107" t="s">
        <v>312</v>
      </c>
      <c r="Z367" s="752" t="s">
        <v>838</v>
      </c>
      <c r="AA367" s="751" t="s">
        <v>838</v>
      </c>
    </row>
    <row r="368" spans="1:27" ht="25.5" x14ac:dyDescent="0.25">
      <c r="A368" s="68" t="s">
        <v>1222</v>
      </c>
      <c r="B368" s="88" t="s">
        <v>1439</v>
      </c>
      <c r="C368" s="5">
        <v>2019</v>
      </c>
      <c r="D368" s="4" t="s">
        <v>1256</v>
      </c>
      <c r="E368" s="69" t="s">
        <v>315</v>
      </c>
      <c r="F368" s="70" t="s">
        <v>315</v>
      </c>
      <c r="G368" s="165" t="s">
        <v>1223</v>
      </c>
      <c r="H368" s="17">
        <v>450</v>
      </c>
      <c r="I368" s="13">
        <v>0</v>
      </c>
      <c r="J368" s="17">
        <v>0</v>
      </c>
      <c r="K368" s="186">
        <v>450</v>
      </c>
      <c r="L368" s="718">
        <v>450</v>
      </c>
      <c r="M368" s="249">
        <v>0</v>
      </c>
      <c r="N368" s="59">
        <f t="shared" si="17"/>
        <v>450</v>
      </c>
      <c r="O368" s="36">
        <v>0</v>
      </c>
      <c r="P368" s="19">
        <v>0</v>
      </c>
      <c r="Q368" s="19">
        <v>0</v>
      </c>
      <c r="R368" s="434">
        <v>0</v>
      </c>
      <c r="S368" s="30">
        <v>0</v>
      </c>
      <c r="T368" s="42">
        <v>0</v>
      </c>
      <c r="U368" s="43">
        <v>0</v>
      </c>
      <c r="V368" s="43">
        <v>0</v>
      </c>
      <c r="W368" s="5" t="s">
        <v>784</v>
      </c>
      <c r="X368" s="55" t="s">
        <v>22</v>
      </c>
      <c r="Y368" s="107" t="s">
        <v>27</v>
      </c>
      <c r="Z368" s="752" t="s">
        <v>838</v>
      </c>
      <c r="AA368" s="751" t="s">
        <v>838</v>
      </c>
    </row>
    <row r="369" spans="1:27" ht="25.5" x14ac:dyDescent="0.25">
      <c r="A369" s="68" t="s">
        <v>1224</v>
      </c>
      <c r="B369" s="88" t="s">
        <v>1440</v>
      </c>
      <c r="C369" s="5">
        <v>2019</v>
      </c>
      <c r="D369" s="4" t="s">
        <v>1256</v>
      </c>
      <c r="E369" s="69" t="s">
        <v>315</v>
      </c>
      <c r="F369" s="70" t="s">
        <v>315</v>
      </c>
      <c r="G369" s="165" t="s">
        <v>1225</v>
      </c>
      <c r="H369" s="17">
        <v>400</v>
      </c>
      <c r="I369" s="13">
        <v>0</v>
      </c>
      <c r="J369" s="17">
        <v>0</v>
      </c>
      <c r="K369" s="186">
        <v>400</v>
      </c>
      <c r="L369" s="718">
        <v>400</v>
      </c>
      <c r="M369" s="249">
        <v>0</v>
      </c>
      <c r="N369" s="59">
        <f t="shared" si="17"/>
        <v>400</v>
      </c>
      <c r="O369" s="36">
        <v>0</v>
      </c>
      <c r="P369" s="19">
        <v>0</v>
      </c>
      <c r="Q369" s="19">
        <v>0</v>
      </c>
      <c r="R369" s="434">
        <v>0</v>
      </c>
      <c r="S369" s="30">
        <v>0</v>
      </c>
      <c r="T369" s="42">
        <v>0</v>
      </c>
      <c r="U369" s="43">
        <v>0</v>
      </c>
      <c r="V369" s="43">
        <v>0</v>
      </c>
      <c r="W369" s="5" t="s">
        <v>784</v>
      </c>
      <c r="X369" s="55" t="s">
        <v>22</v>
      </c>
      <c r="Y369" s="107" t="s">
        <v>27</v>
      </c>
      <c r="Z369" s="752" t="s">
        <v>838</v>
      </c>
      <c r="AA369" s="751" t="s">
        <v>838</v>
      </c>
    </row>
    <row r="370" spans="1:27" ht="30.75" thickBot="1" x14ac:dyDescent="0.3">
      <c r="A370" s="137" t="s">
        <v>1226</v>
      </c>
      <c r="B370" s="139" t="s">
        <v>1441</v>
      </c>
      <c r="C370" s="138">
        <v>2019</v>
      </c>
      <c r="D370" s="58" t="s">
        <v>1256</v>
      </c>
      <c r="E370" s="89" t="s">
        <v>370</v>
      </c>
      <c r="F370" s="1114" t="s">
        <v>370</v>
      </c>
      <c r="G370" s="1115" t="s">
        <v>1227</v>
      </c>
      <c r="H370" s="48">
        <v>6100</v>
      </c>
      <c r="I370" s="587">
        <v>0</v>
      </c>
      <c r="J370" s="48">
        <v>0</v>
      </c>
      <c r="K370" s="624">
        <v>6100</v>
      </c>
      <c r="L370" s="1616">
        <v>6100</v>
      </c>
      <c r="M370" s="258">
        <v>0</v>
      </c>
      <c r="N370" s="451">
        <f t="shared" si="17"/>
        <v>6100</v>
      </c>
      <c r="O370" s="50">
        <v>0</v>
      </c>
      <c r="P370" s="51">
        <v>0</v>
      </c>
      <c r="Q370" s="51">
        <v>0</v>
      </c>
      <c r="R370" s="565">
        <v>0</v>
      </c>
      <c r="S370" s="101">
        <v>0</v>
      </c>
      <c r="T370" s="1116">
        <v>0</v>
      </c>
      <c r="U370" s="1117">
        <v>0</v>
      </c>
      <c r="V370" s="1117">
        <v>0</v>
      </c>
      <c r="W370" s="138" t="s">
        <v>784</v>
      </c>
      <c r="X370" s="135" t="s">
        <v>48</v>
      </c>
      <c r="Y370" s="141" t="s">
        <v>312</v>
      </c>
      <c r="Z370" s="1118" t="s">
        <v>839</v>
      </c>
      <c r="AA370" s="232" t="s">
        <v>839</v>
      </c>
    </row>
    <row r="371" spans="1:27" ht="25.5" x14ac:dyDescent="0.25">
      <c r="A371" s="913" t="s">
        <v>1442</v>
      </c>
      <c r="B371" s="983" t="s">
        <v>802</v>
      </c>
      <c r="C371" s="659">
        <v>2019</v>
      </c>
      <c r="D371" s="659" t="s">
        <v>784</v>
      </c>
      <c r="E371" s="985" t="s">
        <v>352</v>
      </c>
      <c r="F371" s="984" t="s">
        <v>352</v>
      </c>
      <c r="G371" s="1108" t="s">
        <v>385</v>
      </c>
      <c r="H371" s="916">
        <v>1220</v>
      </c>
      <c r="I371" s="1814">
        <v>0</v>
      </c>
      <c r="J371" s="916">
        <v>0</v>
      </c>
      <c r="K371" s="1110">
        <v>1220</v>
      </c>
      <c r="L371" s="922">
        <v>0</v>
      </c>
      <c r="M371" s="920">
        <v>1220</v>
      </c>
      <c r="N371" s="922">
        <f t="shared" si="17"/>
        <v>1220</v>
      </c>
      <c r="O371" s="1111">
        <v>0</v>
      </c>
      <c r="P371" s="919">
        <v>0</v>
      </c>
      <c r="Q371" s="919">
        <v>0</v>
      </c>
      <c r="R371" s="1109">
        <v>0</v>
      </c>
      <c r="S371" s="922">
        <v>0</v>
      </c>
      <c r="T371" s="1112">
        <v>0</v>
      </c>
      <c r="U371" s="1113">
        <v>0</v>
      </c>
      <c r="V371" s="1113">
        <v>0</v>
      </c>
      <c r="W371" s="659" t="s">
        <v>995</v>
      </c>
      <c r="X371" s="498" t="s">
        <v>22</v>
      </c>
      <c r="Y371" s="992" t="s">
        <v>27</v>
      </c>
      <c r="Z371" s="1106" t="s">
        <v>838</v>
      </c>
      <c r="AA371" s="1107" t="s">
        <v>838</v>
      </c>
    </row>
    <row r="372" spans="1:27" ht="25.5" x14ac:dyDescent="0.25">
      <c r="A372" s="994" t="s">
        <v>1443</v>
      </c>
      <c r="B372" s="995" t="s">
        <v>802</v>
      </c>
      <c r="C372" s="646">
        <v>2019</v>
      </c>
      <c r="D372" s="646" t="s">
        <v>784</v>
      </c>
      <c r="E372" s="997" t="s">
        <v>1444</v>
      </c>
      <c r="F372" s="996" t="s">
        <v>1444</v>
      </c>
      <c r="G372" s="1101" t="s">
        <v>1445</v>
      </c>
      <c r="H372" s="696">
        <v>363</v>
      </c>
      <c r="I372" s="697">
        <v>0</v>
      </c>
      <c r="J372" s="696">
        <v>0</v>
      </c>
      <c r="K372" s="1102">
        <v>363</v>
      </c>
      <c r="L372" s="1004">
        <v>0</v>
      </c>
      <c r="M372" s="1001">
        <v>363</v>
      </c>
      <c r="N372" s="1004">
        <f t="shared" si="17"/>
        <v>363</v>
      </c>
      <c r="O372" s="1103">
        <v>0</v>
      </c>
      <c r="P372" s="1003">
        <v>0</v>
      </c>
      <c r="Q372" s="1003">
        <v>0</v>
      </c>
      <c r="R372" s="998">
        <v>0</v>
      </c>
      <c r="S372" s="1004">
        <v>0</v>
      </c>
      <c r="T372" s="1104">
        <v>0</v>
      </c>
      <c r="U372" s="1105">
        <v>0</v>
      </c>
      <c r="V372" s="1105">
        <v>0</v>
      </c>
      <c r="W372" s="646" t="s">
        <v>995</v>
      </c>
      <c r="X372" s="500" t="s">
        <v>22</v>
      </c>
      <c r="Y372" s="992" t="s">
        <v>27</v>
      </c>
      <c r="Z372" s="1106" t="s">
        <v>838</v>
      </c>
      <c r="AA372" s="1107" t="s">
        <v>838</v>
      </c>
    </row>
    <row r="373" spans="1:27" ht="25.5" x14ac:dyDescent="0.25">
      <c r="A373" s="994" t="s">
        <v>1446</v>
      </c>
      <c r="B373" s="995" t="s">
        <v>802</v>
      </c>
      <c r="C373" s="646">
        <v>2019</v>
      </c>
      <c r="D373" s="646" t="s">
        <v>784</v>
      </c>
      <c r="E373" s="997" t="s">
        <v>363</v>
      </c>
      <c r="F373" s="996" t="s">
        <v>363</v>
      </c>
      <c r="G373" s="1101" t="s">
        <v>1447</v>
      </c>
      <c r="H373" s="696">
        <v>3000</v>
      </c>
      <c r="I373" s="697">
        <v>0</v>
      </c>
      <c r="J373" s="696">
        <v>0</v>
      </c>
      <c r="K373" s="1102">
        <v>1000</v>
      </c>
      <c r="L373" s="1004">
        <v>0</v>
      </c>
      <c r="M373" s="1001">
        <v>1000</v>
      </c>
      <c r="N373" s="1004">
        <f t="shared" si="17"/>
        <v>1000</v>
      </c>
      <c r="O373" s="1103">
        <v>0</v>
      </c>
      <c r="P373" s="1003">
        <v>0</v>
      </c>
      <c r="Q373" s="1003">
        <v>0</v>
      </c>
      <c r="R373" s="998">
        <v>0</v>
      </c>
      <c r="S373" s="1004">
        <v>0</v>
      </c>
      <c r="T373" s="1104">
        <v>2000</v>
      </c>
      <c r="U373" s="1105">
        <v>0</v>
      </c>
      <c r="V373" s="1105">
        <v>0</v>
      </c>
      <c r="W373" s="646" t="s">
        <v>995</v>
      </c>
      <c r="X373" s="500" t="s">
        <v>22</v>
      </c>
      <c r="Y373" s="992" t="s">
        <v>27</v>
      </c>
      <c r="Z373" s="1106" t="s">
        <v>838</v>
      </c>
      <c r="AA373" s="1107" t="s">
        <v>838</v>
      </c>
    </row>
    <row r="374" spans="1:27" ht="30" x14ac:dyDescent="0.25">
      <c r="A374" s="994" t="s">
        <v>1518</v>
      </c>
      <c r="B374" s="995" t="s">
        <v>802</v>
      </c>
      <c r="C374" s="646">
        <v>2019</v>
      </c>
      <c r="D374" s="646" t="s">
        <v>784</v>
      </c>
      <c r="E374" s="997" t="s">
        <v>302</v>
      </c>
      <c r="F374" s="996" t="s">
        <v>852</v>
      </c>
      <c r="G374" s="1101" t="s">
        <v>1519</v>
      </c>
      <c r="H374" s="696">
        <v>322.53800000000001</v>
      </c>
      <c r="I374" s="697">
        <v>0</v>
      </c>
      <c r="J374" s="696">
        <v>0</v>
      </c>
      <c r="K374" s="1102">
        <v>322.53800000000001</v>
      </c>
      <c r="L374" s="1004">
        <v>0</v>
      </c>
      <c r="M374" s="1001">
        <v>322.53800000000001</v>
      </c>
      <c r="N374" s="1004">
        <f t="shared" si="17"/>
        <v>322.53800000000001</v>
      </c>
      <c r="O374" s="1103">
        <v>0</v>
      </c>
      <c r="P374" s="1003">
        <v>0</v>
      </c>
      <c r="Q374" s="1003">
        <v>0</v>
      </c>
      <c r="R374" s="998">
        <v>0</v>
      </c>
      <c r="S374" s="1004">
        <v>0</v>
      </c>
      <c r="T374" s="1104">
        <v>0</v>
      </c>
      <c r="U374" s="1105">
        <v>0</v>
      </c>
      <c r="V374" s="1105">
        <v>0</v>
      </c>
      <c r="W374" s="646" t="s">
        <v>995</v>
      </c>
      <c r="X374" s="500" t="s">
        <v>22</v>
      </c>
      <c r="Y374" s="992" t="s">
        <v>27</v>
      </c>
      <c r="Z374" s="1106" t="s">
        <v>838</v>
      </c>
      <c r="AA374" s="1107" t="s">
        <v>838</v>
      </c>
    </row>
    <row r="375" spans="1:27" ht="15.75" thickBot="1" x14ac:dyDescent="0.3">
      <c r="A375" s="180"/>
      <c r="B375" s="228"/>
      <c r="C375" s="58"/>
      <c r="D375" s="58"/>
      <c r="E375" s="798"/>
      <c r="F375" s="92"/>
      <c r="G375" s="806"/>
      <c r="H375" s="182"/>
      <c r="I375" s="1382"/>
      <c r="J375" s="48"/>
      <c r="K375" s="440"/>
      <c r="L375" s="445"/>
      <c r="M375" s="260"/>
      <c r="N375" s="261"/>
      <c r="O375" s="183"/>
      <c r="P375" s="9"/>
      <c r="Q375" s="9"/>
      <c r="R375" s="560"/>
      <c r="S375" s="222"/>
      <c r="T375" s="229"/>
      <c r="U375" s="230"/>
      <c r="V375" s="230"/>
      <c r="W375" s="58"/>
      <c r="X375" s="196"/>
      <c r="Y375" s="232"/>
      <c r="Z375" s="265"/>
      <c r="AA375" s="578"/>
    </row>
    <row r="376" spans="1:27" ht="33.75" customHeight="1" thickBot="1" x14ac:dyDescent="0.3">
      <c r="A376" s="378" t="s">
        <v>784</v>
      </c>
      <c r="B376" s="630" t="s">
        <v>784</v>
      </c>
      <c r="C376" s="210" t="s">
        <v>784</v>
      </c>
      <c r="D376" s="116" t="s">
        <v>784</v>
      </c>
      <c r="E376" s="800" t="s">
        <v>784</v>
      </c>
      <c r="F376" s="160" t="s">
        <v>784</v>
      </c>
      <c r="G376" s="803" t="s">
        <v>917</v>
      </c>
      <c r="H376" s="99">
        <f t="shared" ref="H376:K376" si="18">SUM(H323:H375)</f>
        <v>852221.56087000004</v>
      </c>
      <c r="I376" s="504">
        <f t="shared" si="18"/>
        <v>30536.831420000002</v>
      </c>
      <c r="J376" s="99">
        <v>2879.5638700000004</v>
      </c>
      <c r="K376" s="413">
        <f t="shared" si="18"/>
        <v>48157.536970000001</v>
      </c>
      <c r="L376" s="413">
        <v>60790.794640000007</v>
      </c>
      <c r="M376" s="99">
        <f t="shared" ref="M376:V376" si="19">SUM(M323:M375)</f>
        <v>-9753.5857999999989</v>
      </c>
      <c r="N376" s="99">
        <f t="shared" si="19"/>
        <v>51037.208840000007</v>
      </c>
      <c r="O376" s="438">
        <f t="shared" si="19"/>
        <v>0</v>
      </c>
      <c r="P376" s="413">
        <f t="shared" si="19"/>
        <v>0</v>
      </c>
      <c r="Q376" s="413">
        <f t="shared" si="19"/>
        <v>0</v>
      </c>
      <c r="R376" s="441">
        <f t="shared" si="19"/>
        <v>0</v>
      </c>
      <c r="S376" s="615">
        <f t="shared" si="19"/>
        <v>0</v>
      </c>
      <c r="T376" s="413">
        <f t="shared" si="19"/>
        <v>93838.458440000002</v>
      </c>
      <c r="U376" s="413">
        <f t="shared" si="19"/>
        <v>149631.91516999999</v>
      </c>
      <c r="V376" s="413">
        <f t="shared" si="19"/>
        <v>527177.147</v>
      </c>
      <c r="W376" s="134" t="s">
        <v>1658</v>
      </c>
      <c r="X376" s="106" t="s">
        <v>784</v>
      </c>
      <c r="Y376" s="106" t="s">
        <v>784</v>
      </c>
      <c r="Z376" s="409" t="s">
        <v>784</v>
      </c>
      <c r="AA376" s="106" t="s">
        <v>784</v>
      </c>
    </row>
    <row r="377" spans="1:27" ht="45" x14ac:dyDescent="0.25">
      <c r="A377" s="65" t="s">
        <v>409</v>
      </c>
      <c r="B377" s="120" t="s">
        <v>410</v>
      </c>
      <c r="C377" s="145">
        <v>2010</v>
      </c>
      <c r="D377" s="11" t="s">
        <v>1026</v>
      </c>
      <c r="E377" s="91" t="s">
        <v>411</v>
      </c>
      <c r="F377" s="91" t="s">
        <v>411</v>
      </c>
      <c r="G377" s="1119" t="s">
        <v>412</v>
      </c>
      <c r="H377" s="1">
        <v>531260.93999999994</v>
      </c>
      <c r="I377" s="221">
        <v>349663.80933999998</v>
      </c>
      <c r="J377" s="1">
        <v>32962.544999999998</v>
      </c>
      <c r="K377" s="199">
        <f>10987.515+0.00066</f>
        <v>10987.515659999999</v>
      </c>
      <c r="L377" s="381">
        <v>43950.060659999996</v>
      </c>
      <c r="M377" s="259">
        <v>0</v>
      </c>
      <c r="N377" s="256">
        <f t="shared" ref="N377:N408" si="20">L377+M377</f>
        <v>43950.060659999996</v>
      </c>
      <c r="O377" s="606">
        <v>0</v>
      </c>
      <c r="P377" s="556">
        <v>0</v>
      </c>
      <c r="Q377" s="15">
        <v>101022.5</v>
      </c>
      <c r="R377" s="433">
        <v>18312.3</v>
      </c>
      <c r="S377" s="2">
        <v>18312.27</v>
      </c>
      <c r="T377" s="3">
        <v>36624.57</v>
      </c>
      <c r="U377" s="557">
        <v>0</v>
      </c>
      <c r="V377" s="192">
        <v>0</v>
      </c>
      <c r="W377" s="311" t="s">
        <v>784</v>
      </c>
      <c r="X377" s="2045" t="s">
        <v>48</v>
      </c>
      <c r="Y377" s="391" t="s">
        <v>1669</v>
      </c>
      <c r="Z377" s="267" t="s">
        <v>839</v>
      </c>
      <c r="AA377" s="110" t="s">
        <v>839</v>
      </c>
    </row>
    <row r="378" spans="1:27" ht="102" customHeight="1" x14ac:dyDescent="0.25">
      <c r="A378" s="68" t="s">
        <v>413</v>
      </c>
      <c r="B378" s="96" t="s">
        <v>414</v>
      </c>
      <c r="C378" s="143">
        <v>2012</v>
      </c>
      <c r="D378" s="5" t="s">
        <v>1025</v>
      </c>
      <c r="E378" s="932" t="s">
        <v>415</v>
      </c>
      <c r="F378" s="932" t="s">
        <v>415</v>
      </c>
      <c r="G378" s="1120" t="s">
        <v>416</v>
      </c>
      <c r="H378" s="17">
        <v>257624</v>
      </c>
      <c r="I378" s="559">
        <v>5664.01</v>
      </c>
      <c r="J378" s="17">
        <v>0</v>
      </c>
      <c r="K378" s="437">
        <v>3500</v>
      </c>
      <c r="L378" s="381">
        <v>3500</v>
      </c>
      <c r="M378" s="249">
        <v>0</v>
      </c>
      <c r="N378" s="256">
        <f t="shared" si="20"/>
        <v>3500</v>
      </c>
      <c r="O378" s="36">
        <v>0</v>
      </c>
      <c r="P378" s="19">
        <v>0</v>
      </c>
      <c r="Q378" s="19">
        <v>2000</v>
      </c>
      <c r="R378" s="434">
        <v>0</v>
      </c>
      <c r="S378" s="18">
        <v>0</v>
      </c>
      <c r="T378" s="19">
        <v>0</v>
      </c>
      <c r="U378" s="19">
        <v>217459.99</v>
      </c>
      <c r="V378" s="19">
        <v>29000</v>
      </c>
      <c r="W378" s="626" t="s">
        <v>1564</v>
      </c>
      <c r="X378" s="5" t="s">
        <v>1562</v>
      </c>
      <c r="Y378" s="499" t="s">
        <v>1563</v>
      </c>
      <c r="Z378" s="267" t="s">
        <v>1561</v>
      </c>
      <c r="AA378" s="107" t="s">
        <v>1178</v>
      </c>
    </row>
    <row r="379" spans="1:27" ht="30" x14ac:dyDescent="0.25">
      <c r="A379" s="68" t="s">
        <v>417</v>
      </c>
      <c r="B379" s="96" t="s">
        <v>418</v>
      </c>
      <c r="C379" s="146">
        <v>2015</v>
      </c>
      <c r="D379" s="85" t="s">
        <v>419</v>
      </c>
      <c r="E379" s="932" t="s">
        <v>420</v>
      </c>
      <c r="F379" s="932" t="s">
        <v>420</v>
      </c>
      <c r="G379" s="1120" t="s">
        <v>421</v>
      </c>
      <c r="H379" s="25">
        <v>86727</v>
      </c>
      <c r="I379" s="583">
        <v>0</v>
      </c>
      <c r="J379" s="17">
        <v>0</v>
      </c>
      <c r="K379" s="437">
        <v>0</v>
      </c>
      <c r="L379" s="59">
        <v>0</v>
      </c>
      <c r="M379" s="249">
        <v>0</v>
      </c>
      <c r="N379" s="250">
        <f t="shared" si="20"/>
        <v>0</v>
      </c>
      <c r="O379" s="36">
        <v>0</v>
      </c>
      <c r="P379" s="19">
        <v>0</v>
      </c>
      <c r="Q379" s="19">
        <v>15079.75</v>
      </c>
      <c r="R379" s="439">
        <v>0</v>
      </c>
      <c r="S379" s="26">
        <v>0</v>
      </c>
      <c r="T379" s="27">
        <v>0</v>
      </c>
      <c r="U379" s="29">
        <v>0</v>
      </c>
      <c r="V379" s="19">
        <v>71647.25</v>
      </c>
      <c r="W379" s="311" t="s">
        <v>1571</v>
      </c>
      <c r="X379" s="5" t="s">
        <v>48</v>
      </c>
      <c r="Y379" s="499" t="s">
        <v>757</v>
      </c>
      <c r="Z379" s="267" t="s">
        <v>839</v>
      </c>
      <c r="AA379" s="107" t="s">
        <v>839</v>
      </c>
    </row>
    <row r="380" spans="1:27" ht="63.75" x14ac:dyDescent="0.25">
      <c r="A380" s="1306" t="s">
        <v>422</v>
      </c>
      <c r="B380" s="1043" t="s">
        <v>423</v>
      </c>
      <c r="C380" s="1622">
        <v>2015</v>
      </c>
      <c r="D380" s="657" t="s">
        <v>424</v>
      </c>
      <c r="E380" s="1314" t="s">
        <v>420</v>
      </c>
      <c r="F380" s="1314" t="s">
        <v>420</v>
      </c>
      <c r="G380" s="1623" t="s">
        <v>904</v>
      </c>
      <c r="H380" s="1624">
        <v>3635</v>
      </c>
      <c r="I380" s="727">
        <v>635</v>
      </c>
      <c r="J380" s="813">
        <v>300</v>
      </c>
      <c r="K380" s="1050">
        <v>2700</v>
      </c>
      <c r="L380" s="1051">
        <v>0</v>
      </c>
      <c r="M380" s="1052">
        <v>0</v>
      </c>
      <c r="N380" s="1053">
        <f t="shared" si="20"/>
        <v>0</v>
      </c>
      <c r="O380" s="1311">
        <v>3000</v>
      </c>
      <c r="P380" s="1310">
        <v>0</v>
      </c>
      <c r="Q380" s="1310">
        <v>0</v>
      </c>
      <c r="R380" s="1049">
        <v>0</v>
      </c>
      <c r="S380" s="1244">
        <v>0</v>
      </c>
      <c r="T380" s="1310">
        <v>0</v>
      </c>
      <c r="U380" s="1051">
        <v>0</v>
      </c>
      <c r="V380" s="1310">
        <v>0</v>
      </c>
      <c r="W380" s="2041" t="s">
        <v>1635</v>
      </c>
      <c r="X380" s="1625" t="s">
        <v>48</v>
      </c>
      <c r="Y380" s="1864" t="s">
        <v>312</v>
      </c>
      <c r="Z380" s="1061" t="s">
        <v>839</v>
      </c>
      <c r="AA380" s="1062" t="s">
        <v>839</v>
      </c>
    </row>
    <row r="381" spans="1:27" s="710" customFormat="1" ht="45" x14ac:dyDescent="0.25">
      <c r="A381" s="140" t="s">
        <v>425</v>
      </c>
      <c r="B381" s="119" t="s">
        <v>426</v>
      </c>
      <c r="C381" s="144">
        <v>2016</v>
      </c>
      <c r="D381" s="72" t="s">
        <v>1024</v>
      </c>
      <c r="E381" s="81" t="s">
        <v>420</v>
      </c>
      <c r="F381" s="81" t="s">
        <v>420</v>
      </c>
      <c r="G381" s="169" t="s">
        <v>905</v>
      </c>
      <c r="H381" s="22">
        <v>53750.42</v>
      </c>
      <c r="I381" s="522">
        <v>5771.2</v>
      </c>
      <c r="J381" s="22">
        <v>36000</v>
      </c>
      <c r="K381" s="455">
        <v>0</v>
      </c>
      <c r="L381" s="460">
        <v>0</v>
      </c>
      <c r="M381" s="539">
        <v>0</v>
      </c>
      <c r="N381" s="312">
        <f t="shared" si="20"/>
        <v>0</v>
      </c>
      <c r="O381" s="37">
        <v>36000</v>
      </c>
      <c r="P381" s="24">
        <v>0</v>
      </c>
      <c r="Q381" s="24">
        <v>11979.22</v>
      </c>
      <c r="R381" s="456">
        <v>0</v>
      </c>
      <c r="S381" s="23">
        <v>0</v>
      </c>
      <c r="T381" s="24">
        <v>0</v>
      </c>
      <c r="U381" s="40">
        <v>0</v>
      </c>
      <c r="V381" s="24">
        <v>0</v>
      </c>
      <c r="W381" s="1945" t="s">
        <v>784</v>
      </c>
      <c r="X381" s="562" t="s">
        <v>877</v>
      </c>
      <c r="Y381" s="564" t="s">
        <v>572</v>
      </c>
      <c r="Z381" s="315" t="s">
        <v>839</v>
      </c>
      <c r="AA381" s="71" t="s">
        <v>839</v>
      </c>
    </row>
    <row r="382" spans="1:27" ht="25.5" x14ac:dyDescent="0.25">
      <c r="A382" s="68" t="s">
        <v>427</v>
      </c>
      <c r="B382" s="88" t="s">
        <v>428</v>
      </c>
      <c r="C382" s="143">
        <v>2016</v>
      </c>
      <c r="D382" s="5" t="s">
        <v>1024</v>
      </c>
      <c r="E382" s="70" t="s">
        <v>429</v>
      </c>
      <c r="F382" s="70" t="s">
        <v>429</v>
      </c>
      <c r="G382" s="1121" t="s">
        <v>430</v>
      </c>
      <c r="H382" s="558">
        <v>64134.499000000003</v>
      </c>
      <c r="I382" s="559">
        <v>51668.417599999993</v>
      </c>
      <c r="J382" s="17">
        <v>0</v>
      </c>
      <c r="K382" s="437">
        <v>2000</v>
      </c>
      <c r="L382" s="59">
        <v>2000</v>
      </c>
      <c r="M382" s="249">
        <v>0</v>
      </c>
      <c r="N382" s="250">
        <f t="shared" si="20"/>
        <v>2000</v>
      </c>
      <c r="O382" s="36">
        <v>0</v>
      </c>
      <c r="P382" s="19">
        <v>0</v>
      </c>
      <c r="Q382" s="27">
        <v>0</v>
      </c>
      <c r="R382" s="439">
        <v>0</v>
      </c>
      <c r="S382" s="26">
        <v>0</v>
      </c>
      <c r="T382" s="27">
        <v>0</v>
      </c>
      <c r="U382" s="29">
        <v>0</v>
      </c>
      <c r="V382" s="19">
        <v>10466.081399999999</v>
      </c>
      <c r="W382" s="2042" t="s">
        <v>1448</v>
      </c>
      <c r="X382" s="46" t="s">
        <v>48</v>
      </c>
      <c r="Y382" s="347" t="s">
        <v>998</v>
      </c>
      <c r="Z382" s="267" t="s">
        <v>839</v>
      </c>
      <c r="AA382" s="107" t="s">
        <v>839</v>
      </c>
    </row>
    <row r="383" spans="1:27" s="710" customFormat="1" ht="25.5" x14ac:dyDescent="0.25">
      <c r="A383" s="140" t="s">
        <v>431</v>
      </c>
      <c r="B383" s="119" t="s">
        <v>432</v>
      </c>
      <c r="C383" s="144">
        <v>2017</v>
      </c>
      <c r="D383" s="72" t="s">
        <v>1020</v>
      </c>
      <c r="E383" s="81" t="s">
        <v>415</v>
      </c>
      <c r="F383" s="81" t="s">
        <v>415</v>
      </c>
      <c r="G383" s="169" t="s">
        <v>433</v>
      </c>
      <c r="H383" s="22">
        <v>40039.019999999997</v>
      </c>
      <c r="I383" s="522">
        <v>27585.908880000003</v>
      </c>
      <c r="J383" s="22">
        <v>12453.11112</v>
      </c>
      <c r="K383" s="455">
        <v>0</v>
      </c>
      <c r="L383" s="460">
        <v>12453.11112</v>
      </c>
      <c r="M383" s="539">
        <v>0</v>
      </c>
      <c r="N383" s="312">
        <f t="shared" si="20"/>
        <v>12453.11112</v>
      </c>
      <c r="O383" s="607">
        <v>0</v>
      </c>
      <c r="P383" s="24">
        <v>0</v>
      </c>
      <c r="Q383" s="24">
        <v>0</v>
      </c>
      <c r="R383" s="456">
        <v>0</v>
      </c>
      <c r="S383" s="23">
        <v>0</v>
      </c>
      <c r="T383" s="24">
        <v>0</v>
      </c>
      <c r="U383" s="40">
        <v>0</v>
      </c>
      <c r="V383" s="24">
        <v>0</v>
      </c>
      <c r="W383" s="1943" t="s">
        <v>784</v>
      </c>
      <c r="X383" s="562" t="s">
        <v>877</v>
      </c>
      <c r="Y383" s="563" t="s">
        <v>756</v>
      </c>
      <c r="Z383" s="315" t="s">
        <v>839</v>
      </c>
      <c r="AA383" s="71" t="s">
        <v>839</v>
      </c>
    </row>
    <row r="384" spans="1:27" ht="63" customHeight="1" x14ac:dyDescent="0.25">
      <c r="A384" s="68" t="s">
        <v>434</v>
      </c>
      <c r="B384" s="88" t="s">
        <v>435</v>
      </c>
      <c r="C384" s="143">
        <v>2017</v>
      </c>
      <c r="D384" s="5" t="s">
        <v>1020</v>
      </c>
      <c r="E384" s="70" t="s">
        <v>415</v>
      </c>
      <c r="F384" s="70" t="s">
        <v>415</v>
      </c>
      <c r="G384" s="1121" t="s">
        <v>436</v>
      </c>
      <c r="H384" s="17">
        <v>20400</v>
      </c>
      <c r="I384" s="13">
        <v>3488.43</v>
      </c>
      <c r="J384" s="17">
        <v>3455.76</v>
      </c>
      <c r="K384" s="437">
        <v>255.81</v>
      </c>
      <c r="L384" s="59">
        <v>3711.5699999999997</v>
      </c>
      <c r="M384" s="249">
        <v>0</v>
      </c>
      <c r="N384" s="250">
        <f t="shared" si="20"/>
        <v>3711.5699999999997</v>
      </c>
      <c r="O384" s="604">
        <v>0</v>
      </c>
      <c r="P384" s="19">
        <v>0</v>
      </c>
      <c r="Q384" s="19">
        <v>3000</v>
      </c>
      <c r="R384" s="434">
        <v>0</v>
      </c>
      <c r="S384" s="18">
        <v>0</v>
      </c>
      <c r="T384" s="19">
        <v>0</v>
      </c>
      <c r="U384" s="30">
        <v>0</v>
      </c>
      <c r="V384" s="19">
        <v>10200</v>
      </c>
      <c r="W384" s="2042" t="s">
        <v>1569</v>
      </c>
      <c r="X384" s="46" t="s">
        <v>1570</v>
      </c>
      <c r="Y384" s="392" t="s">
        <v>27</v>
      </c>
      <c r="Z384" s="267" t="s">
        <v>838</v>
      </c>
      <c r="AA384" s="107" t="s">
        <v>838</v>
      </c>
    </row>
    <row r="385" spans="1:27" ht="30" x14ac:dyDescent="0.25">
      <c r="A385" s="68" t="s">
        <v>437</v>
      </c>
      <c r="B385" s="88" t="s">
        <v>438</v>
      </c>
      <c r="C385" s="143">
        <v>2017</v>
      </c>
      <c r="D385" s="5" t="s">
        <v>1020</v>
      </c>
      <c r="E385" s="70" t="s">
        <v>439</v>
      </c>
      <c r="F385" s="70" t="s">
        <v>439</v>
      </c>
      <c r="G385" s="1121" t="s">
        <v>440</v>
      </c>
      <c r="H385" s="17">
        <v>99892</v>
      </c>
      <c r="I385" s="13">
        <v>68500</v>
      </c>
      <c r="J385" s="17">
        <v>11488.99598</v>
      </c>
      <c r="K385" s="437">
        <f>15010+1.00402</f>
        <v>15011.00402</v>
      </c>
      <c r="L385" s="59">
        <v>26500</v>
      </c>
      <c r="M385" s="249">
        <v>0</v>
      </c>
      <c r="N385" s="250">
        <f t="shared" si="20"/>
        <v>26500</v>
      </c>
      <c r="O385" s="604">
        <v>0</v>
      </c>
      <c r="P385" s="19">
        <v>0</v>
      </c>
      <c r="Q385" s="19">
        <v>4892</v>
      </c>
      <c r="R385" s="434">
        <v>0</v>
      </c>
      <c r="S385" s="18">
        <v>0</v>
      </c>
      <c r="T385" s="19">
        <v>0</v>
      </c>
      <c r="U385" s="30">
        <v>0</v>
      </c>
      <c r="V385" s="19">
        <v>0</v>
      </c>
      <c r="W385" s="553" t="s">
        <v>784</v>
      </c>
      <c r="X385" s="46" t="s">
        <v>48</v>
      </c>
      <c r="Y385" s="392" t="s">
        <v>312</v>
      </c>
      <c r="Z385" s="267" t="s">
        <v>839</v>
      </c>
      <c r="AA385" s="107" t="s">
        <v>839</v>
      </c>
    </row>
    <row r="386" spans="1:27" ht="30" x14ac:dyDescent="0.25">
      <c r="A386" s="68" t="s">
        <v>441</v>
      </c>
      <c r="B386" s="88" t="s">
        <v>442</v>
      </c>
      <c r="C386" s="143">
        <v>2017</v>
      </c>
      <c r="D386" s="5" t="s">
        <v>1019</v>
      </c>
      <c r="E386" s="70" t="s">
        <v>420</v>
      </c>
      <c r="F386" s="70" t="s">
        <v>420</v>
      </c>
      <c r="G386" s="1121" t="s">
        <v>443</v>
      </c>
      <c r="H386" s="17">
        <v>9000</v>
      </c>
      <c r="I386" s="13">
        <v>0</v>
      </c>
      <c r="J386" s="17">
        <v>0</v>
      </c>
      <c r="K386" s="437">
        <f>8993.22+0.004</f>
        <v>8993.2240000000002</v>
      </c>
      <c r="L386" s="59">
        <v>8993.2240000000002</v>
      </c>
      <c r="M386" s="249">
        <v>0</v>
      </c>
      <c r="N386" s="250">
        <f t="shared" si="20"/>
        <v>8993.2240000000002</v>
      </c>
      <c r="O386" s="604">
        <v>0</v>
      </c>
      <c r="P386" s="19">
        <v>0</v>
      </c>
      <c r="Q386" s="19">
        <v>6.7759999999999998</v>
      </c>
      <c r="R386" s="434">
        <v>0</v>
      </c>
      <c r="S386" s="18">
        <v>0</v>
      </c>
      <c r="T386" s="19">
        <v>0</v>
      </c>
      <c r="U386" s="30">
        <v>0</v>
      </c>
      <c r="V386" s="19">
        <v>0</v>
      </c>
      <c r="W386" s="553" t="s">
        <v>784</v>
      </c>
      <c r="X386" s="5" t="s">
        <v>48</v>
      </c>
      <c r="Y386" s="347" t="s">
        <v>312</v>
      </c>
      <c r="Z386" s="267" t="s">
        <v>839</v>
      </c>
      <c r="AA386" s="107" t="s">
        <v>839</v>
      </c>
    </row>
    <row r="387" spans="1:27" ht="36" customHeight="1" x14ac:dyDescent="0.25">
      <c r="A387" s="68" t="s">
        <v>444</v>
      </c>
      <c r="B387" s="88" t="s">
        <v>445</v>
      </c>
      <c r="C387" s="143">
        <v>2017</v>
      </c>
      <c r="D387" s="5" t="s">
        <v>1019</v>
      </c>
      <c r="E387" s="70" t="s">
        <v>415</v>
      </c>
      <c r="F387" s="70" t="s">
        <v>415</v>
      </c>
      <c r="G387" s="1121" t="s">
        <v>446</v>
      </c>
      <c r="H387" s="17">
        <v>45685</v>
      </c>
      <c r="I387" s="13">
        <v>0</v>
      </c>
      <c r="J387" s="17">
        <v>0</v>
      </c>
      <c r="K387" s="437">
        <v>15000</v>
      </c>
      <c r="L387" s="59">
        <v>15000</v>
      </c>
      <c r="M387" s="249">
        <v>0</v>
      </c>
      <c r="N387" s="250">
        <f t="shared" si="20"/>
        <v>15000</v>
      </c>
      <c r="O387" s="604">
        <v>0</v>
      </c>
      <c r="P387" s="19">
        <v>0</v>
      </c>
      <c r="Q387" s="19">
        <v>5000</v>
      </c>
      <c r="R387" s="434">
        <v>25685</v>
      </c>
      <c r="S387" s="18">
        <v>0</v>
      </c>
      <c r="T387" s="19">
        <v>25685</v>
      </c>
      <c r="U387" s="30">
        <v>0</v>
      </c>
      <c r="V387" s="19">
        <v>0</v>
      </c>
      <c r="W387" s="2042" t="s">
        <v>784</v>
      </c>
      <c r="X387" s="5" t="s">
        <v>48</v>
      </c>
      <c r="Y387" s="347" t="s">
        <v>998</v>
      </c>
      <c r="Z387" s="267" t="s">
        <v>839</v>
      </c>
      <c r="AA387" s="107" t="s">
        <v>838</v>
      </c>
    </row>
    <row r="388" spans="1:27" ht="30" x14ac:dyDescent="0.25">
      <c r="A388" s="68" t="s">
        <v>447</v>
      </c>
      <c r="B388" s="88" t="s">
        <v>758</v>
      </c>
      <c r="C388" s="143">
        <v>2018</v>
      </c>
      <c r="D388" s="5" t="s">
        <v>229</v>
      </c>
      <c r="E388" s="70" t="s">
        <v>420</v>
      </c>
      <c r="F388" s="70" t="s">
        <v>420</v>
      </c>
      <c r="G388" s="1121" t="s">
        <v>448</v>
      </c>
      <c r="H388" s="17">
        <v>99313</v>
      </c>
      <c r="I388" s="13">
        <v>24500</v>
      </c>
      <c r="J388" s="17">
        <v>0</v>
      </c>
      <c r="K388" s="437">
        <v>54813</v>
      </c>
      <c r="L388" s="453">
        <v>54813</v>
      </c>
      <c r="M388" s="249">
        <v>0</v>
      </c>
      <c r="N388" s="250">
        <f t="shared" si="20"/>
        <v>54813</v>
      </c>
      <c r="O388" s="604">
        <v>0</v>
      </c>
      <c r="P388" s="19">
        <v>0</v>
      </c>
      <c r="Q388" s="3">
        <v>20000</v>
      </c>
      <c r="R388" s="748">
        <v>0</v>
      </c>
      <c r="S388" s="28">
        <v>0</v>
      </c>
      <c r="T388" s="19">
        <v>0</v>
      </c>
      <c r="U388" s="30">
        <v>0</v>
      </c>
      <c r="V388" s="19">
        <v>0</v>
      </c>
      <c r="W388" s="143" t="s">
        <v>784</v>
      </c>
      <c r="X388" s="46" t="s">
        <v>48</v>
      </c>
      <c r="Y388" s="347" t="s">
        <v>312</v>
      </c>
      <c r="Z388" s="267" t="s">
        <v>839</v>
      </c>
      <c r="AA388" s="107" t="s">
        <v>839</v>
      </c>
    </row>
    <row r="389" spans="1:27" s="639" customFormat="1" ht="38.25" customHeight="1" x14ac:dyDescent="0.25">
      <c r="A389" s="68" t="s">
        <v>450</v>
      </c>
      <c r="B389" s="88" t="s">
        <v>759</v>
      </c>
      <c r="C389" s="143">
        <v>2018</v>
      </c>
      <c r="D389" s="5" t="s">
        <v>895</v>
      </c>
      <c r="E389" s="70" t="s">
        <v>415</v>
      </c>
      <c r="F389" s="70" t="s">
        <v>415</v>
      </c>
      <c r="G389" s="1121" t="s">
        <v>451</v>
      </c>
      <c r="H389" s="17">
        <v>31544.25</v>
      </c>
      <c r="I389" s="13">
        <v>4090.2245300000004</v>
      </c>
      <c r="J389" s="17">
        <v>24404.03</v>
      </c>
      <c r="K389" s="437">
        <v>0</v>
      </c>
      <c r="L389" s="59">
        <v>24404.03</v>
      </c>
      <c r="M389" s="249">
        <v>0</v>
      </c>
      <c r="N389" s="250">
        <f t="shared" si="20"/>
        <v>24404.03</v>
      </c>
      <c r="O389" s="604">
        <v>0</v>
      </c>
      <c r="P389" s="19">
        <v>0</v>
      </c>
      <c r="Q389" s="19">
        <v>2000</v>
      </c>
      <c r="R389" s="434">
        <v>0</v>
      </c>
      <c r="S389" s="30">
        <v>0</v>
      </c>
      <c r="T389" s="19">
        <v>0</v>
      </c>
      <c r="U389" s="30">
        <v>0</v>
      </c>
      <c r="V389" s="19">
        <v>1049.9954700000001</v>
      </c>
      <c r="W389" s="626" t="s">
        <v>1568</v>
      </c>
      <c r="X389" s="46" t="s">
        <v>48</v>
      </c>
      <c r="Y389" s="499" t="s">
        <v>756</v>
      </c>
      <c r="Z389" s="267" t="s">
        <v>839</v>
      </c>
      <c r="AA389" s="107" t="s">
        <v>839</v>
      </c>
    </row>
    <row r="390" spans="1:27" ht="89.25" x14ac:dyDescent="0.25">
      <c r="A390" s="68" t="s">
        <v>452</v>
      </c>
      <c r="B390" s="88" t="s">
        <v>760</v>
      </c>
      <c r="C390" s="143">
        <v>2018</v>
      </c>
      <c r="D390" s="5" t="s">
        <v>895</v>
      </c>
      <c r="E390" s="70" t="s">
        <v>415</v>
      </c>
      <c r="F390" s="161" t="s">
        <v>415</v>
      </c>
      <c r="G390" s="1121" t="s">
        <v>453</v>
      </c>
      <c r="H390" s="17">
        <v>2500</v>
      </c>
      <c r="I390" s="13">
        <v>346.99721</v>
      </c>
      <c r="J390" s="17">
        <v>778.00279</v>
      </c>
      <c r="K390" s="437">
        <v>0</v>
      </c>
      <c r="L390" s="59">
        <v>778.00279</v>
      </c>
      <c r="M390" s="249">
        <v>0</v>
      </c>
      <c r="N390" s="250">
        <f t="shared" si="20"/>
        <v>778.00279</v>
      </c>
      <c r="O390" s="604">
        <v>0</v>
      </c>
      <c r="P390" s="19">
        <v>0</v>
      </c>
      <c r="Q390" s="19">
        <v>250</v>
      </c>
      <c r="R390" s="434">
        <v>0</v>
      </c>
      <c r="S390" s="30">
        <v>0</v>
      </c>
      <c r="T390" s="19">
        <v>0</v>
      </c>
      <c r="U390" s="30">
        <v>0</v>
      </c>
      <c r="V390" s="19">
        <v>1125</v>
      </c>
      <c r="W390" s="626" t="s">
        <v>1449</v>
      </c>
      <c r="X390" s="46" t="s">
        <v>1450</v>
      </c>
      <c r="Y390" s="499" t="s">
        <v>1451</v>
      </c>
      <c r="Z390" s="267" t="s">
        <v>1176</v>
      </c>
      <c r="AA390" s="107" t="s">
        <v>1176</v>
      </c>
    </row>
    <row r="391" spans="1:27" s="710" customFormat="1" ht="38.25" customHeight="1" x14ac:dyDescent="0.25">
      <c r="A391" s="140" t="s">
        <v>454</v>
      </c>
      <c r="B391" s="119" t="s">
        <v>761</v>
      </c>
      <c r="C391" s="144">
        <v>2018</v>
      </c>
      <c r="D391" s="72" t="s">
        <v>895</v>
      </c>
      <c r="E391" s="81" t="s">
        <v>415</v>
      </c>
      <c r="F391" s="74" t="s">
        <v>415</v>
      </c>
      <c r="G391" s="169" t="s">
        <v>455</v>
      </c>
      <c r="H391" s="22">
        <v>12415</v>
      </c>
      <c r="I391" s="522">
        <v>5470.1869400000005</v>
      </c>
      <c r="J391" s="22">
        <v>6944.8130600000004</v>
      </c>
      <c r="K391" s="455">
        <v>0</v>
      </c>
      <c r="L391" s="460">
        <v>6944.8130600000004</v>
      </c>
      <c r="M391" s="539">
        <v>0</v>
      </c>
      <c r="N391" s="312">
        <f t="shared" si="20"/>
        <v>6944.8130600000004</v>
      </c>
      <c r="O391" s="607">
        <v>0</v>
      </c>
      <c r="P391" s="24">
        <v>0</v>
      </c>
      <c r="Q391" s="24">
        <v>0</v>
      </c>
      <c r="R391" s="456">
        <v>0</v>
      </c>
      <c r="S391" s="40">
        <v>0</v>
      </c>
      <c r="T391" s="24">
        <v>0</v>
      </c>
      <c r="U391" s="40">
        <v>0</v>
      </c>
      <c r="V391" s="24">
        <v>0</v>
      </c>
      <c r="W391" s="1943" t="s">
        <v>784</v>
      </c>
      <c r="X391" s="562" t="s">
        <v>877</v>
      </c>
      <c r="Y391" s="564" t="s">
        <v>756</v>
      </c>
      <c r="Z391" s="315" t="s">
        <v>839</v>
      </c>
      <c r="AA391" s="71" t="s">
        <v>839</v>
      </c>
    </row>
    <row r="392" spans="1:27" ht="38.25" x14ac:dyDescent="0.25">
      <c r="A392" s="68" t="s">
        <v>456</v>
      </c>
      <c r="B392" s="120" t="s">
        <v>762</v>
      </c>
      <c r="C392" s="143">
        <v>2018</v>
      </c>
      <c r="D392" s="5" t="s">
        <v>104</v>
      </c>
      <c r="E392" s="70" t="s">
        <v>411</v>
      </c>
      <c r="F392" s="70" t="s">
        <v>411</v>
      </c>
      <c r="G392" s="1121" t="s">
        <v>457</v>
      </c>
      <c r="H392" s="633">
        <v>7235.16</v>
      </c>
      <c r="I392" s="13">
        <v>2500</v>
      </c>
      <c r="J392" s="17">
        <v>0</v>
      </c>
      <c r="K392" s="437">
        <v>3479.4710799999998</v>
      </c>
      <c r="L392" s="453">
        <v>3479.4710799999998</v>
      </c>
      <c r="M392" s="249">
        <v>0</v>
      </c>
      <c r="N392" s="250">
        <f t="shared" si="20"/>
        <v>3479.4710799999998</v>
      </c>
      <c r="O392" s="36">
        <v>0</v>
      </c>
      <c r="P392" s="19">
        <v>0</v>
      </c>
      <c r="Q392" s="19">
        <v>1255.6889200000001</v>
      </c>
      <c r="R392" s="434">
        <v>0</v>
      </c>
      <c r="S392" s="30">
        <v>0</v>
      </c>
      <c r="T392" s="19">
        <v>0</v>
      </c>
      <c r="U392" s="30">
        <v>0</v>
      </c>
      <c r="V392" s="19">
        <v>0</v>
      </c>
      <c r="W392" s="1122" t="s">
        <v>1565</v>
      </c>
      <c r="X392" s="46" t="s">
        <v>48</v>
      </c>
      <c r="Y392" s="347" t="s">
        <v>27</v>
      </c>
      <c r="Z392" s="267" t="s">
        <v>839</v>
      </c>
      <c r="AA392" s="625" t="s">
        <v>839</v>
      </c>
    </row>
    <row r="393" spans="1:27" ht="26.25" thickBot="1" x14ac:dyDescent="0.3">
      <c r="A393" s="137" t="s">
        <v>458</v>
      </c>
      <c r="B393" s="139" t="s">
        <v>763</v>
      </c>
      <c r="C393" s="511">
        <v>2018</v>
      </c>
      <c r="D393" s="138" t="s">
        <v>104</v>
      </c>
      <c r="E393" s="1114" t="s">
        <v>449</v>
      </c>
      <c r="F393" s="1114" t="s">
        <v>449</v>
      </c>
      <c r="G393" s="1148" t="s">
        <v>459</v>
      </c>
      <c r="H393" s="48">
        <v>68000</v>
      </c>
      <c r="I393" s="587">
        <v>33000</v>
      </c>
      <c r="J393" s="48">
        <v>0</v>
      </c>
      <c r="K393" s="305">
        <v>33000</v>
      </c>
      <c r="L393" s="1646">
        <v>33000</v>
      </c>
      <c r="M393" s="258">
        <v>0</v>
      </c>
      <c r="N393" s="255">
        <f t="shared" si="20"/>
        <v>33000</v>
      </c>
      <c r="O393" s="1618">
        <v>0</v>
      </c>
      <c r="P393" s="51">
        <v>0</v>
      </c>
      <c r="Q393" s="51">
        <v>2000</v>
      </c>
      <c r="R393" s="565">
        <v>0</v>
      </c>
      <c r="S393" s="49">
        <v>0</v>
      </c>
      <c r="T393" s="51">
        <v>0</v>
      </c>
      <c r="U393" s="101">
        <v>0</v>
      </c>
      <c r="V393" s="51">
        <v>0</v>
      </c>
      <c r="W393" s="1944" t="s">
        <v>784</v>
      </c>
      <c r="X393" s="138" t="s">
        <v>1177</v>
      </c>
      <c r="Y393" s="2043" t="s">
        <v>312</v>
      </c>
      <c r="Z393" s="982" t="s">
        <v>839</v>
      </c>
      <c r="AA393" s="141" t="s">
        <v>839</v>
      </c>
    </row>
    <row r="394" spans="1:27" ht="25.5" x14ac:dyDescent="0.25">
      <c r="A394" s="120" t="s">
        <v>764</v>
      </c>
      <c r="B394" s="1645" t="s">
        <v>1152</v>
      </c>
      <c r="C394" s="4">
        <v>2019</v>
      </c>
      <c r="D394" s="4" t="s">
        <v>811</v>
      </c>
      <c r="E394" s="66" t="s">
        <v>449</v>
      </c>
      <c r="F394" s="91" t="s">
        <v>449</v>
      </c>
      <c r="G394" s="1119" t="s">
        <v>765</v>
      </c>
      <c r="H394" s="1">
        <v>230000</v>
      </c>
      <c r="I394" s="221">
        <v>0</v>
      </c>
      <c r="J394" s="1">
        <v>0</v>
      </c>
      <c r="K394" s="629">
        <v>30000</v>
      </c>
      <c r="L394" s="381">
        <v>30000</v>
      </c>
      <c r="M394" s="259">
        <v>0</v>
      </c>
      <c r="N394" s="256">
        <f t="shared" si="20"/>
        <v>30000</v>
      </c>
      <c r="O394" s="606">
        <v>0</v>
      </c>
      <c r="P394" s="3">
        <v>0</v>
      </c>
      <c r="Q394" s="3">
        <v>3000</v>
      </c>
      <c r="R394" s="748">
        <v>100000</v>
      </c>
      <c r="S394" s="2001">
        <v>97000</v>
      </c>
      <c r="T394" s="3">
        <v>197000</v>
      </c>
      <c r="U394" s="28">
        <v>0</v>
      </c>
      <c r="V394" s="3">
        <v>0</v>
      </c>
      <c r="W394" s="311" t="s">
        <v>784</v>
      </c>
      <c r="X394" s="4" t="s">
        <v>1177</v>
      </c>
      <c r="Y394" s="391" t="s">
        <v>891</v>
      </c>
      <c r="Z394" s="266" t="s">
        <v>839</v>
      </c>
      <c r="AA394" s="109" t="s">
        <v>839</v>
      </c>
    </row>
    <row r="395" spans="1:27" ht="25.5" x14ac:dyDescent="0.25">
      <c r="A395" s="68" t="s">
        <v>766</v>
      </c>
      <c r="B395" s="1965" t="s">
        <v>1452</v>
      </c>
      <c r="C395" s="5">
        <v>2019</v>
      </c>
      <c r="D395" s="5" t="s">
        <v>811</v>
      </c>
      <c r="E395" s="69" t="s">
        <v>420</v>
      </c>
      <c r="F395" s="70" t="s">
        <v>420</v>
      </c>
      <c r="G395" s="1121" t="s">
        <v>1014</v>
      </c>
      <c r="H395" s="17">
        <v>25986</v>
      </c>
      <c r="I395" s="13">
        <v>0</v>
      </c>
      <c r="J395" s="17">
        <v>0</v>
      </c>
      <c r="K395" s="437">
        <v>10000</v>
      </c>
      <c r="L395" s="59">
        <v>10000</v>
      </c>
      <c r="M395" s="249">
        <v>0</v>
      </c>
      <c r="N395" s="250">
        <f t="shared" si="20"/>
        <v>10000</v>
      </c>
      <c r="O395" s="604">
        <v>0</v>
      </c>
      <c r="P395" s="19">
        <v>0</v>
      </c>
      <c r="Q395" s="19">
        <v>15986</v>
      </c>
      <c r="R395" s="434">
        <v>0</v>
      </c>
      <c r="S395" s="18">
        <v>0</v>
      </c>
      <c r="T395" s="19">
        <v>0</v>
      </c>
      <c r="U395" s="30">
        <v>0</v>
      </c>
      <c r="V395" s="19">
        <v>0</v>
      </c>
      <c r="W395" s="78" t="s">
        <v>784</v>
      </c>
      <c r="X395" s="5" t="s">
        <v>48</v>
      </c>
      <c r="Y395" s="499" t="s">
        <v>312</v>
      </c>
      <c r="Z395" s="267" t="s">
        <v>839</v>
      </c>
      <c r="AA395" s="625" t="s">
        <v>839</v>
      </c>
    </row>
    <row r="396" spans="1:27" ht="66" customHeight="1" thickBot="1" x14ac:dyDescent="0.3">
      <c r="A396" s="1626" t="s">
        <v>768</v>
      </c>
      <c r="B396" s="1627" t="s">
        <v>1453</v>
      </c>
      <c r="C396" s="1577">
        <v>2019</v>
      </c>
      <c r="D396" s="1577" t="s">
        <v>811</v>
      </c>
      <c r="E396" s="1628" t="s">
        <v>439</v>
      </c>
      <c r="F396" s="1629" t="s">
        <v>439</v>
      </c>
      <c r="G396" s="1630" t="s">
        <v>767</v>
      </c>
      <c r="H396" s="1631">
        <v>19900</v>
      </c>
      <c r="I396" s="1901">
        <v>0</v>
      </c>
      <c r="J396" s="1631">
        <v>0</v>
      </c>
      <c r="K396" s="1633">
        <v>16000</v>
      </c>
      <c r="L396" s="1634">
        <v>10000</v>
      </c>
      <c r="M396" s="1635">
        <v>6000</v>
      </c>
      <c r="N396" s="1636">
        <f t="shared" si="20"/>
        <v>16000</v>
      </c>
      <c r="O396" s="1637">
        <v>0</v>
      </c>
      <c r="P396" s="1638">
        <v>0</v>
      </c>
      <c r="Q396" s="1638">
        <v>3900</v>
      </c>
      <c r="R396" s="1632">
        <v>0</v>
      </c>
      <c r="S396" s="1639">
        <v>0</v>
      </c>
      <c r="T396" s="1638">
        <v>0</v>
      </c>
      <c r="U396" s="1634">
        <v>0</v>
      </c>
      <c r="V396" s="1638">
        <v>0</v>
      </c>
      <c r="W396" s="1640" t="s">
        <v>1566</v>
      </c>
      <c r="X396" s="1641" t="s">
        <v>16</v>
      </c>
      <c r="Y396" s="2044" t="s">
        <v>27</v>
      </c>
      <c r="Z396" s="1642" t="s">
        <v>838</v>
      </c>
      <c r="AA396" s="1643" t="s">
        <v>838</v>
      </c>
    </row>
    <row r="397" spans="1:27" ht="89.25" x14ac:dyDescent="0.25">
      <c r="A397" s="65" t="s">
        <v>1011</v>
      </c>
      <c r="B397" s="1645" t="s">
        <v>1454</v>
      </c>
      <c r="C397" s="4">
        <v>2019</v>
      </c>
      <c r="D397" s="124" t="s">
        <v>1175</v>
      </c>
      <c r="E397" s="91" t="s">
        <v>415</v>
      </c>
      <c r="F397" s="66" t="s">
        <v>415</v>
      </c>
      <c r="G397" s="1077" t="s">
        <v>1013</v>
      </c>
      <c r="H397" s="1">
        <v>8000</v>
      </c>
      <c r="I397" s="221">
        <v>0</v>
      </c>
      <c r="J397" s="1">
        <v>0</v>
      </c>
      <c r="K397" s="629">
        <v>8000</v>
      </c>
      <c r="L397" s="381">
        <v>8000</v>
      </c>
      <c r="M397" s="259">
        <v>0</v>
      </c>
      <c r="N397" s="256">
        <f t="shared" si="20"/>
        <v>8000</v>
      </c>
      <c r="O397" s="606">
        <v>0</v>
      </c>
      <c r="P397" s="556">
        <v>0</v>
      </c>
      <c r="Q397" s="3">
        <v>0</v>
      </c>
      <c r="R397" s="748">
        <v>0</v>
      </c>
      <c r="S397" s="2">
        <v>0</v>
      </c>
      <c r="T397" s="3">
        <v>0</v>
      </c>
      <c r="U397" s="28">
        <v>0</v>
      </c>
      <c r="V397" s="3">
        <v>0</v>
      </c>
      <c r="W397" s="1647" t="s">
        <v>1455</v>
      </c>
      <c r="X397" s="552" t="s">
        <v>22</v>
      </c>
      <c r="Y397" s="109" t="s">
        <v>572</v>
      </c>
      <c r="Z397" s="391" t="s">
        <v>838</v>
      </c>
      <c r="AA397" s="109" t="s">
        <v>838</v>
      </c>
    </row>
    <row r="398" spans="1:27" ht="51.75" thickBot="1" x14ac:dyDescent="0.3">
      <c r="A398" s="137" t="s">
        <v>1012</v>
      </c>
      <c r="B398" s="1966" t="s">
        <v>1456</v>
      </c>
      <c r="C398" s="138">
        <v>2019</v>
      </c>
      <c r="D398" s="135" t="s">
        <v>1175</v>
      </c>
      <c r="E398" s="1114" t="s">
        <v>411</v>
      </c>
      <c r="F398" s="1114" t="s">
        <v>411</v>
      </c>
      <c r="G398" s="1115" t="s">
        <v>1010</v>
      </c>
      <c r="H398" s="48">
        <v>7865</v>
      </c>
      <c r="I398" s="587">
        <v>0</v>
      </c>
      <c r="J398" s="48">
        <v>0</v>
      </c>
      <c r="K398" s="624">
        <v>6500</v>
      </c>
      <c r="L398" s="1616">
        <v>6500</v>
      </c>
      <c r="M398" s="258">
        <v>0</v>
      </c>
      <c r="N398" s="1617">
        <f t="shared" si="20"/>
        <v>6500</v>
      </c>
      <c r="O398" s="1618">
        <v>0</v>
      </c>
      <c r="P398" s="1298">
        <v>0</v>
      </c>
      <c r="Q398" s="51">
        <v>1365</v>
      </c>
      <c r="R398" s="565">
        <v>0</v>
      </c>
      <c r="S398" s="49">
        <v>0</v>
      </c>
      <c r="T398" s="51">
        <v>0</v>
      </c>
      <c r="U398" s="101">
        <v>0</v>
      </c>
      <c r="V398" s="51">
        <v>0</v>
      </c>
      <c r="W398" s="1648" t="s">
        <v>1567</v>
      </c>
      <c r="X398" s="1619" t="s">
        <v>48</v>
      </c>
      <c r="Y398" s="141" t="s">
        <v>571</v>
      </c>
      <c r="Z398" s="982" t="s">
        <v>839</v>
      </c>
      <c r="AA398" s="141" t="s">
        <v>839</v>
      </c>
    </row>
    <row r="399" spans="1:27" ht="51" x14ac:dyDescent="0.25">
      <c r="A399" s="913" t="s">
        <v>1556</v>
      </c>
      <c r="B399" s="1620" t="s">
        <v>802</v>
      </c>
      <c r="C399" s="659">
        <v>2019</v>
      </c>
      <c r="D399" s="498" t="s">
        <v>784</v>
      </c>
      <c r="E399" s="984" t="s">
        <v>449</v>
      </c>
      <c r="F399" s="984" t="s">
        <v>449</v>
      </c>
      <c r="G399" s="1108" t="s">
        <v>1457</v>
      </c>
      <c r="H399" s="916">
        <v>8500</v>
      </c>
      <c r="I399" s="1814">
        <v>0</v>
      </c>
      <c r="J399" s="916">
        <v>0</v>
      </c>
      <c r="K399" s="1110">
        <v>2500</v>
      </c>
      <c r="L399" s="1402">
        <v>0</v>
      </c>
      <c r="M399" s="920">
        <v>2500</v>
      </c>
      <c r="N399" s="988">
        <f t="shared" si="20"/>
        <v>2500</v>
      </c>
      <c r="O399" s="660">
        <v>0</v>
      </c>
      <c r="P399" s="920">
        <v>0</v>
      </c>
      <c r="Q399" s="919">
        <v>500</v>
      </c>
      <c r="R399" s="1109">
        <v>2000</v>
      </c>
      <c r="S399" s="1402">
        <v>3500</v>
      </c>
      <c r="T399" s="919">
        <v>5500</v>
      </c>
      <c r="U399" s="922">
        <v>0</v>
      </c>
      <c r="V399" s="919">
        <v>0</v>
      </c>
      <c r="W399" s="1984" t="s">
        <v>1458</v>
      </c>
      <c r="X399" s="1615" t="s">
        <v>22</v>
      </c>
      <c r="Y399" s="993" t="s">
        <v>27</v>
      </c>
      <c r="Z399" s="991" t="s">
        <v>838</v>
      </c>
      <c r="AA399" s="992" t="s">
        <v>838</v>
      </c>
    </row>
    <row r="400" spans="1:27" ht="76.5" x14ac:dyDescent="0.25">
      <c r="A400" s="994" t="s">
        <v>1557</v>
      </c>
      <c r="B400" s="1621" t="s">
        <v>802</v>
      </c>
      <c r="C400" s="646">
        <v>2019</v>
      </c>
      <c r="D400" s="500" t="s">
        <v>784</v>
      </c>
      <c r="E400" s="996" t="s">
        <v>415</v>
      </c>
      <c r="F400" s="996" t="s">
        <v>415</v>
      </c>
      <c r="G400" s="1101" t="s">
        <v>1459</v>
      </c>
      <c r="H400" s="696">
        <v>1600</v>
      </c>
      <c r="I400" s="697">
        <v>0</v>
      </c>
      <c r="J400" s="696">
        <v>0</v>
      </c>
      <c r="K400" s="1102">
        <v>1450</v>
      </c>
      <c r="L400" s="1125">
        <v>0</v>
      </c>
      <c r="M400" s="1001">
        <v>1450</v>
      </c>
      <c r="N400" s="1002">
        <f t="shared" si="20"/>
        <v>1450</v>
      </c>
      <c r="O400" s="647">
        <v>0</v>
      </c>
      <c r="P400" s="1001">
        <v>0</v>
      </c>
      <c r="Q400" s="1125">
        <v>150</v>
      </c>
      <c r="R400" s="998">
        <v>0</v>
      </c>
      <c r="S400" s="1125">
        <v>0</v>
      </c>
      <c r="T400" s="1003">
        <v>0</v>
      </c>
      <c r="U400" s="1004">
        <v>0</v>
      </c>
      <c r="V400" s="1003">
        <v>0</v>
      </c>
      <c r="W400" s="634" t="s">
        <v>1666</v>
      </c>
      <c r="X400" s="1123" t="s">
        <v>22</v>
      </c>
      <c r="Y400" s="1009" t="s">
        <v>571</v>
      </c>
      <c r="Z400" s="1007" t="s">
        <v>838</v>
      </c>
      <c r="AA400" s="1008" t="s">
        <v>838</v>
      </c>
    </row>
    <row r="401" spans="1:27" ht="30" x14ac:dyDescent="0.25">
      <c r="A401" s="994" t="s">
        <v>1558</v>
      </c>
      <c r="B401" s="1621" t="s">
        <v>802</v>
      </c>
      <c r="C401" s="646">
        <v>2019</v>
      </c>
      <c r="D401" s="500" t="s">
        <v>784</v>
      </c>
      <c r="E401" s="996" t="s">
        <v>415</v>
      </c>
      <c r="F401" s="996" t="s">
        <v>415</v>
      </c>
      <c r="G401" s="1101" t="s">
        <v>778</v>
      </c>
      <c r="H401" s="696">
        <v>5700</v>
      </c>
      <c r="I401" s="697">
        <v>0</v>
      </c>
      <c r="J401" s="696">
        <v>0</v>
      </c>
      <c r="K401" s="1102">
        <v>5700</v>
      </c>
      <c r="L401" s="1125">
        <v>0</v>
      </c>
      <c r="M401" s="1001">
        <v>5700</v>
      </c>
      <c r="N401" s="1002">
        <f t="shared" si="20"/>
        <v>5700</v>
      </c>
      <c r="O401" s="647">
        <v>0</v>
      </c>
      <c r="P401" s="1001">
        <v>0</v>
      </c>
      <c r="Q401" s="1125">
        <v>0</v>
      </c>
      <c r="R401" s="998">
        <v>0</v>
      </c>
      <c r="S401" s="1125">
        <v>0</v>
      </c>
      <c r="T401" s="1003">
        <v>0</v>
      </c>
      <c r="U401" s="1004">
        <v>0</v>
      </c>
      <c r="V401" s="1003">
        <v>0</v>
      </c>
      <c r="W401" s="634" t="s">
        <v>1665</v>
      </c>
      <c r="X401" s="1123" t="s">
        <v>22</v>
      </c>
      <c r="Y401" s="1009" t="s">
        <v>27</v>
      </c>
      <c r="Z401" s="1007" t="s">
        <v>838</v>
      </c>
      <c r="AA401" s="1008" t="s">
        <v>838</v>
      </c>
    </row>
    <row r="402" spans="1:27" ht="25.5" x14ac:dyDescent="0.25">
      <c r="A402" s="994" t="s">
        <v>1559</v>
      </c>
      <c r="B402" s="1621" t="s">
        <v>802</v>
      </c>
      <c r="C402" s="646">
        <v>2019</v>
      </c>
      <c r="D402" s="500" t="s">
        <v>784</v>
      </c>
      <c r="E402" s="996" t="s">
        <v>420</v>
      </c>
      <c r="F402" s="996" t="s">
        <v>420</v>
      </c>
      <c r="G402" s="1101" t="s">
        <v>1460</v>
      </c>
      <c r="H402" s="696">
        <v>5030</v>
      </c>
      <c r="I402" s="697">
        <v>0</v>
      </c>
      <c r="J402" s="696">
        <v>0</v>
      </c>
      <c r="K402" s="1102">
        <v>5030</v>
      </c>
      <c r="L402" s="1125">
        <v>0</v>
      </c>
      <c r="M402" s="1001">
        <v>5030</v>
      </c>
      <c r="N402" s="1002">
        <f t="shared" si="20"/>
        <v>5030</v>
      </c>
      <c r="O402" s="647">
        <v>0</v>
      </c>
      <c r="P402" s="1001">
        <v>0</v>
      </c>
      <c r="Q402" s="1125">
        <v>0</v>
      </c>
      <c r="R402" s="998">
        <v>0</v>
      </c>
      <c r="S402" s="1125">
        <v>0</v>
      </c>
      <c r="T402" s="1003">
        <v>0</v>
      </c>
      <c r="U402" s="1004">
        <v>0</v>
      </c>
      <c r="V402" s="1003">
        <v>0</v>
      </c>
      <c r="W402" s="634" t="s">
        <v>1664</v>
      </c>
      <c r="X402" s="1123" t="s">
        <v>48</v>
      </c>
      <c r="Y402" s="1009" t="s">
        <v>312</v>
      </c>
      <c r="Z402" s="1007" t="s">
        <v>839</v>
      </c>
      <c r="AA402" s="1008" t="s">
        <v>839</v>
      </c>
    </row>
    <row r="403" spans="1:27" ht="30" x14ac:dyDescent="0.25">
      <c r="A403" s="994" t="s">
        <v>1560</v>
      </c>
      <c r="B403" s="1621" t="s">
        <v>802</v>
      </c>
      <c r="C403" s="646">
        <v>2019</v>
      </c>
      <c r="D403" s="500" t="s">
        <v>784</v>
      </c>
      <c r="E403" s="996" t="s">
        <v>411</v>
      </c>
      <c r="F403" s="996" t="s">
        <v>411</v>
      </c>
      <c r="G403" s="1101" t="s">
        <v>1461</v>
      </c>
      <c r="H403" s="696">
        <v>6482</v>
      </c>
      <c r="I403" s="697">
        <v>0</v>
      </c>
      <c r="J403" s="696">
        <v>0</v>
      </c>
      <c r="K403" s="1102">
        <v>6482</v>
      </c>
      <c r="L403" s="1125">
        <v>0</v>
      </c>
      <c r="M403" s="1001">
        <v>6482</v>
      </c>
      <c r="N403" s="1002">
        <f t="shared" si="20"/>
        <v>6482</v>
      </c>
      <c r="O403" s="647">
        <v>0</v>
      </c>
      <c r="P403" s="1001">
        <v>0</v>
      </c>
      <c r="Q403" s="1125">
        <v>0</v>
      </c>
      <c r="R403" s="998">
        <v>0</v>
      </c>
      <c r="S403" s="1125">
        <v>0</v>
      </c>
      <c r="T403" s="1003">
        <v>0</v>
      </c>
      <c r="U403" s="1004">
        <v>0</v>
      </c>
      <c r="V403" s="1003">
        <v>0</v>
      </c>
      <c r="W403" s="1983" t="s">
        <v>784</v>
      </c>
      <c r="X403" s="1123" t="s">
        <v>48</v>
      </c>
      <c r="Y403" s="1009" t="s">
        <v>571</v>
      </c>
      <c r="Z403" s="1007" t="s">
        <v>839</v>
      </c>
      <c r="AA403" s="1008" t="s">
        <v>839</v>
      </c>
    </row>
    <row r="404" spans="1:27" ht="25.5" x14ac:dyDescent="0.25">
      <c r="A404" s="913" t="s">
        <v>1641</v>
      </c>
      <c r="B404" s="1980" t="s">
        <v>802</v>
      </c>
      <c r="C404" s="659">
        <v>2019</v>
      </c>
      <c r="D404" s="498" t="s">
        <v>784</v>
      </c>
      <c r="E404" s="984" t="s">
        <v>449</v>
      </c>
      <c r="F404" s="984" t="s">
        <v>449</v>
      </c>
      <c r="G404" s="1982" t="s">
        <v>1642</v>
      </c>
      <c r="H404" s="916">
        <v>2000</v>
      </c>
      <c r="I404" s="916">
        <v>0</v>
      </c>
      <c r="J404" s="695">
        <v>0</v>
      </c>
      <c r="K404" s="919">
        <v>2000</v>
      </c>
      <c r="L404" s="919">
        <v>0</v>
      </c>
      <c r="M404" s="920">
        <v>2000</v>
      </c>
      <c r="N404" s="920">
        <f t="shared" si="20"/>
        <v>2000</v>
      </c>
      <c r="O404" s="920">
        <v>0</v>
      </c>
      <c r="P404" s="920">
        <v>0</v>
      </c>
      <c r="Q404" s="919">
        <v>0</v>
      </c>
      <c r="R404" s="1109">
        <v>0</v>
      </c>
      <c r="S404" s="1125">
        <v>0</v>
      </c>
      <c r="T404" s="1003">
        <v>0</v>
      </c>
      <c r="U404" s="1004">
        <v>0</v>
      </c>
      <c r="V404" s="1003">
        <v>0</v>
      </c>
      <c r="W404" s="1976" t="s">
        <v>784</v>
      </c>
      <c r="X404" s="1123" t="s">
        <v>48</v>
      </c>
      <c r="Y404" s="1009" t="s">
        <v>312</v>
      </c>
      <c r="Z404" s="991" t="s">
        <v>839</v>
      </c>
      <c r="AA404" s="992" t="s">
        <v>839</v>
      </c>
    </row>
    <row r="405" spans="1:27" ht="30" x14ac:dyDescent="0.25">
      <c r="A405" s="994" t="s">
        <v>1643</v>
      </c>
      <c r="B405" s="1981" t="s">
        <v>802</v>
      </c>
      <c r="C405" s="646">
        <v>2019</v>
      </c>
      <c r="D405" s="500" t="s">
        <v>784</v>
      </c>
      <c r="E405" s="996" t="s">
        <v>449</v>
      </c>
      <c r="F405" s="996" t="s">
        <v>449</v>
      </c>
      <c r="G405" s="1101" t="s">
        <v>1644</v>
      </c>
      <c r="H405" s="696">
        <v>700</v>
      </c>
      <c r="I405" s="696">
        <v>0</v>
      </c>
      <c r="J405" s="698">
        <v>0</v>
      </c>
      <c r="K405" s="1003">
        <v>700</v>
      </c>
      <c r="L405" s="1003">
        <v>0</v>
      </c>
      <c r="M405" s="1001">
        <v>700</v>
      </c>
      <c r="N405" s="1001">
        <f t="shared" si="20"/>
        <v>700</v>
      </c>
      <c r="O405" s="1001">
        <v>0</v>
      </c>
      <c r="P405" s="1001">
        <v>0</v>
      </c>
      <c r="Q405" s="1003">
        <v>0</v>
      </c>
      <c r="R405" s="998">
        <v>0</v>
      </c>
      <c r="S405" s="1125">
        <v>0</v>
      </c>
      <c r="T405" s="1003">
        <v>0</v>
      </c>
      <c r="U405" s="1004">
        <v>0</v>
      </c>
      <c r="V405" s="1003">
        <v>0</v>
      </c>
      <c r="W405" s="1977" t="s">
        <v>784</v>
      </c>
      <c r="X405" s="1123" t="s">
        <v>48</v>
      </c>
      <c r="Y405" s="1009" t="s">
        <v>312</v>
      </c>
      <c r="Z405" s="1007" t="s">
        <v>839</v>
      </c>
      <c r="AA405" s="1008" t="s">
        <v>839</v>
      </c>
    </row>
    <row r="406" spans="1:27" ht="25.5" x14ac:dyDescent="0.25">
      <c r="A406" s="994" t="s">
        <v>1645</v>
      </c>
      <c r="B406" s="1981" t="s">
        <v>802</v>
      </c>
      <c r="C406" s="646">
        <v>2019</v>
      </c>
      <c r="D406" s="500" t="s">
        <v>784</v>
      </c>
      <c r="E406" s="996" t="s">
        <v>449</v>
      </c>
      <c r="F406" s="996" t="s">
        <v>449</v>
      </c>
      <c r="G406" s="1101" t="s">
        <v>1646</v>
      </c>
      <c r="H406" s="696">
        <v>2200</v>
      </c>
      <c r="I406" s="696">
        <v>0</v>
      </c>
      <c r="J406" s="698">
        <v>0</v>
      </c>
      <c r="K406" s="1003">
        <v>2088</v>
      </c>
      <c r="L406" s="1003">
        <v>0</v>
      </c>
      <c r="M406" s="1001">
        <v>2088</v>
      </c>
      <c r="N406" s="1001">
        <f t="shared" si="20"/>
        <v>2088</v>
      </c>
      <c r="O406" s="1001">
        <v>0</v>
      </c>
      <c r="P406" s="1001">
        <v>0</v>
      </c>
      <c r="Q406" s="1003">
        <v>112</v>
      </c>
      <c r="R406" s="998">
        <v>0</v>
      </c>
      <c r="S406" s="1125">
        <v>0</v>
      </c>
      <c r="T406" s="1003">
        <v>0</v>
      </c>
      <c r="U406" s="1004">
        <v>0</v>
      </c>
      <c r="V406" s="1003">
        <v>0</v>
      </c>
      <c r="W406" s="1977" t="s">
        <v>784</v>
      </c>
      <c r="X406" s="1123" t="s">
        <v>22</v>
      </c>
      <c r="Y406" s="1009" t="s">
        <v>571</v>
      </c>
      <c r="Z406" s="1007" t="s">
        <v>838</v>
      </c>
      <c r="AA406" s="1008" t="s">
        <v>838</v>
      </c>
    </row>
    <row r="407" spans="1:27" ht="25.5" x14ac:dyDescent="0.25">
      <c r="A407" s="994" t="s">
        <v>1647</v>
      </c>
      <c r="B407" s="1981" t="s">
        <v>802</v>
      </c>
      <c r="C407" s="646">
        <v>2019</v>
      </c>
      <c r="D407" s="500" t="s">
        <v>784</v>
      </c>
      <c r="E407" s="996" t="s">
        <v>449</v>
      </c>
      <c r="F407" s="996" t="s">
        <v>449</v>
      </c>
      <c r="G407" s="1101" t="s">
        <v>1648</v>
      </c>
      <c r="H407" s="696">
        <v>2100</v>
      </c>
      <c r="I407" s="696">
        <v>0</v>
      </c>
      <c r="J407" s="698">
        <v>0</v>
      </c>
      <c r="K407" s="1003">
        <v>2000</v>
      </c>
      <c r="L407" s="1003">
        <v>0</v>
      </c>
      <c r="M407" s="1001">
        <v>2000</v>
      </c>
      <c r="N407" s="1001">
        <f t="shared" si="20"/>
        <v>2000</v>
      </c>
      <c r="O407" s="1001">
        <v>0</v>
      </c>
      <c r="P407" s="1001">
        <v>0</v>
      </c>
      <c r="Q407" s="1003">
        <v>100</v>
      </c>
      <c r="R407" s="998">
        <v>0</v>
      </c>
      <c r="S407" s="1125">
        <v>0</v>
      </c>
      <c r="T407" s="1003">
        <v>0</v>
      </c>
      <c r="U407" s="1004">
        <v>0</v>
      </c>
      <c r="V407" s="1003">
        <v>0</v>
      </c>
      <c r="W407" s="1977" t="s">
        <v>784</v>
      </c>
      <c r="X407" s="1123" t="s">
        <v>48</v>
      </c>
      <c r="Y407" s="1009" t="s">
        <v>312</v>
      </c>
      <c r="Z407" s="1007" t="s">
        <v>839</v>
      </c>
      <c r="AA407" s="1008" t="s">
        <v>839</v>
      </c>
    </row>
    <row r="408" spans="1:27" x14ac:dyDescent="0.25">
      <c r="A408" s="994" t="s">
        <v>1649</v>
      </c>
      <c r="B408" s="1981" t="s">
        <v>802</v>
      </c>
      <c r="C408" s="646">
        <v>2019</v>
      </c>
      <c r="D408" s="500" t="s">
        <v>784</v>
      </c>
      <c r="E408" s="996" t="s">
        <v>1650</v>
      </c>
      <c r="F408" s="996" t="s">
        <v>1650</v>
      </c>
      <c r="G408" s="1101" t="s">
        <v>1651</v>
      </c>
      <c r="H408" s="696">
        <v>3529.09</v>
      </c>
      <c r="I408" s="696">
        <v>0</v>
      </c>
      <c r="J408" s="698">
        <v>0</v>
      </c>
      <c r="K408" s="1003">
        <v>2965.6179999999999</v>
      </c>
      <c r="L408" s="1003">
        <v>0</v>
      </c>
      <c r="M408" s="1001">
        <v>2965.6179999999999</v>
      </c>
      <c r="N408" s="1001">
        <f t="shared" si="20"/>
        <v>2965.6179999999999</v>
      </c>
      <c r="O408" s="1001">
        <v>0</v>
      </c>
      <c r="P408" s="1001">
        <v>0</v>
      </c>
      <c r="Q408" s="1003">
        <v>563.47</v>
      </c>
      <c r="R408" s="998">
        <v>0</v>
      </c>
      <c r="S408" s="1125">
        <v>0</v>
      </c>
      <c r="T408" s="1003">
        <v>0</v>
      </c>
      <c r="U408" s="1004">
        <v>0</v>
      </c>
      <c r="V408" s="1003">
        <v>0</v>
      </c>
      <c r="W408" s="1977" t="s">
        <v>784</v>
      </c>
      <c r="X408" s="1123" t="s">
        <v>48</v>
      </c>
      <c r="Y408" s="1009" t="s">
        <v>312</v>
      </c>
      <c r="Z408" s="1007" t="s">
        <v>839</v>
      </c>
      <c r="AA408" s="1008" t="s">
        <v>839</v>
      </c>
    </row>
    <row r="409" spans="1:27" ht="15.75" thickBot="1" x14ac:dyDescent="0.3">
      <c r="A409" s="86"/>
      <c r="B409" s="195"/>
      <c r="C409" s="58"/>
      <c r="D409" s="196"/>
      <c r="E409" s="236"/>
      <c r="F409" s="92"/>
      <c r="G409" s="806"/>
      <c r="H409" s="1126"/>
      <c r="I409" s="1382"/>
      <c r="J409" s="182"/>
      <c r="K409" s="561"/>
      <c r="L409" s="463"/>
      <c r="M409" s="260"/>
      <c r="N409" s="261"/>
      <c r="O409" s="226"/>
      <c r="P409" s="197"/>
      <c r="Q409" s="9"/>
      <c r="R409" s="560"/>
      <c r="S409" s="10"/>
      <c r="T409" s="9"/>
      <c r="U409" s="222"/>
      <c r="V409" s="9"/>
      <c r="W409" s="193"/>
      <c r="X409" s="227"/>
      <c r="Y409" s="554"/>
      <c r="Z409" s="555"/>
      <c r="AA409" s="225"/>
    </row>
    <row r="410" spans="1:27" ht="33.75" customHeight="1" thickBot="1" x14ac:dyDescent="0.3">
      <c r="A410" s="378" t="s">
        <v>784</v>
      </c>
      <c r="B410" s="630" t="s">
        <v>784</v>
      </c>
      <c r="C410" s="210" t="s">
        <v>784</v>
      </c>
      <c r="D410" s="116" t="s">
        <v>784</v>
      </c>
      <c r="E410" s="800" t="s">
        <v>784</v>
      </c>
      <c r="F410" s="160" t="s">
        <v>784</v>
      </c>
      <c r="G410" s="803" t="s">
        <v>916</v>
      </c>
      <c r="H410" s="99">
        <f>SUM(H377:H409)</f>
        <v>1762747.379</v>
      </c>
      <c r="I410" s="504">
        <f>SUM(I377:I409)</f>
        <v>582884.18449999997</v>
      </c>
      <c r="J410" s="99">
        <v>128787.25794999998</v>
      </c>
      <c r="K410" s="442">
        <f>SUM(K377:K409)</f>
        <v>251155.64275999999</v>
      </c>
      <c r="L410" s="442">
        <v>304027.28271</v>
      </c>
      <c r="M410" s="99">
        <f t="shared" ref="M410:V410" si="21">SUM(M377:M409)</f>
        <v>36915.618000000002</v>
      </c>
      <c r="N410" s="99">
        <f t="shared" si="21"/>
        <v>340942.90071000002</v>
      </c>
      <c r="O410" s="438">
        <f t="shared" si="21"/>
        <v>39000</v>
      </c>
      <c r="P410" s="413">
        <f t="shared" si="21"/>
        <v>0</v>
      </c>
      <c r="Q410" s="413">
        <f t="shared" si="21"/>
        <v>194162.40492</v>
      </c>
      <c r="R410" s="441">
        <f t="shared" si="21"/>
        <v>145997.29999999999</v>
      </c>
      <c r="S410" s="615">
        <f t="shared" si="21"/>
        <v>118812.27</v>
      </c>
      <c r="T410" s="413">
        <f t="shared" si="21"/>
        <v>264809.57</v>
      </c>
      <c r="U410" s="413">
        <f t="shared" si="21"/>
        <v>217459.99</v>
      </c>
      <c r="V410" s="413">
        <f t="shared" si="21"/>
        <v>123488.32686999999</v>
      </c>
      <c r="W410" s="134" t="s">
        <v>1659</v>
      </c>
      <c r="X410" s="100" t="s">
        <v>784</v>
      </c>
      <c r="Y410" s="105" t="s">
        <v>784</v>
      </c>
      <c r="Z410" s="407" t="s">
        <v>784</v>
      </c>
      <c r="AA410" s="105" t="s">
        <v>784</v>
      </c>
    </row>
    <row r="411" spans="1:27" ht="34.5" customHeight="1" x14ac:dyDescent="0.25">
      <c r="A411" s="1178" t="s">
        <v>460</v>
      </c>
      <c r="B411" s="1840" t="s">
        <v>461</v>
      </c>
      <c r="C411" s="1044">
        <v>2014</v>
      </c>
      <c r="D411" s="1044" t="s">
        <v>1023</v>
      </c>
      <c r="E411" s="1841" t="s">
        <v>14</v>
      </c>
      <c r="F411" s="1842" t="s">
        <v>14</v>
      </c>
      <c r="G411" s="1177" t="s">
        <v>462</v>
      </c>
      <c r="H411" s="1384">
        <v>3978</v>
      </c>
      <c r="I411" s="814">
        <v>2047</v>
      </c>
      <c r="J411" s="1384">
        <v>0</v>
      </c>
      <c r="K411" s="1769">
        <v>0</v>
      </c>
      <c r="L411" s="1843">
        <v>1931</v>
      </c>
      <c r="M411" s="1187">
        <v>-1931</v>
      </c>
      <c r="N411" s="1746">
        <v>0</v>
      </c>
      <c r="O411" s="1747">
        <v>0</v>
      </c>
      <c r="P411" s="1748">
        <v>0</v>
      </c>
      <c r="Q411" s="1773">
        <v>0</v>
      </c>
      <c r="R411" s="1768">
        <v>0</v>
      </c>
      <c r="S411" s="1749">
        <v>0</v>
      </c>
      <c r="T411" s="1748">
        <v>1931</v>
      </c>
      <c r="U411" s="1748">
        <v>0</v>
      </c>
      <c r="V411" s="1748">
        <v>0</v>
      </c>
      <c r="W411" s="1841" t="s">
        <v>1515</v>
      </c>
      <c r="X411" s="1174" t="s">
        <v>48</v>
      </c>
      <c r="Y411" s="1844" t="s">
        <v>317</v>
      </c>
      <c r="Z411" s="1845" t="s">
        <v>839</v>
      </c>
      <c r="AA411" s="1846" t="s">
        <v>839</v>
      </c>
    </row>
    <row r="412" spans="1:27" s="717" customFormat="1" ht="36.75" customHeight="1" x14ac:dyDescent="0.25">
      <c r="A412" s="946" t="s">
        <v>463</v>
      </c>
      <c r="B412" s="779" t="s">
        <v>464</v>
      </c>
      <c r="C412" s="518">
        <v>2017</v>
      </c>
      <c r="D412" s="518" t="s">
        <v>1022</v>
      </c>
      <c r="E412" s="780" t="s">
        <v>465</v>
      </c>
      <c r="F412" s="1597" t="s">
        <v>465</v>
      </c>
      <c r="G412" s="1064" t="s">
        <v>466</v>
      </c>
      <c r="H412" s="521">
        <v>7615</v>
      </c>
      <c r="I412" s="694">
        <v>212</v>
      </c>
      <c r="J412" s="521">
        <v>0</v>
      </c>
      <c r="K412" s="1139">
        <v>4834</v>
      </c>
      <c r="L412" s="1598">
        <v>4834</v>
      </c>
      <c r="M412" s="873">
        <v>0</v>
      </c>
      <c r="N412" s="1176">
        <v>4834</v>
      </c>
      <c r="O412" s="1142">
        <v>0</v>
      </c>
      <c r="P412" s="1143">
        <v>0</v>
      </c>
      <c r="Q412" s="1143">
        <v>0</v>
      </c>
      <c r="R412" s="869">
        <v>0</v>
      </c>
      <c r="S412" s="784">
        <v>0</v>
      </c>
      <c r="T412" s="1143">
        <v>2569</v>
      </c>
      <c r="U412" s="1143">
        <v>0</v>
      </c>
      <c r="V412" s="1143">
        <v>0</v>
      </c>
      <c r="W412" s="780" t="s">
        <v>1516</v>
      </c>
      <c r="X412" s="1599" t="s">
        <v>16</v>
      </c>
      <c r="Y412" s="1600" t="s">
        <v>317</v>
      </c>
      <c r="Z412" s="1600" t="s">
        <v>839</v>
      </c>
      <c r="AA412" s="1601" t="s">
        <v>839</v>
      </c>
    </row>
    <row r="413" spans="1:27" ht="34.5" customHeight="1" x14ac:dyDescent="0.25">
      <c r="A413" s="1306" t="s">
        <v>467</v>
      </c>
      <c r="B413" s="1043" t="s">
        <v>468</v>
      </c>
      <c r="C413" s="657">
        <v>2018</v>
      </c>
      <c r="D413" s="657" t="s">
        <v>264</v>
      </c>
      <c r="E413" s="1045" t="s">
        <v>14</v>
      </c>
      <c r="F413" s="1665" t="s">
        <v>14</v>
      </c>
      <c r="G413" s="1047" t="s">
        <v>469</v>
      </c>
      <c r="H413" s="813">
        <v>1500</v>
      </c>
      <c r="I413" s="721">
        <v>0</v>
      </c>
      <c r="J413" s="813">
        <v>0</v>
      </c>
      <c r="K413" s="1584">
        <v>0</v>
      </c>
      <c r="L413" s="1745">
        <v>1500</v>
      </c>
      <c r="M413" s="1052">
        <v>-1500</v>
      </c>
      <c r="N413" s="1746">
        <v>0</v>
      </c>
      <c r="O413" s="1759">
        <v>0</v>
      </c>
      <c r="P413" s="1246">
        <v>0</v>
      </c>
      <c r="Q413" s="1246">
        <v>0</v>
      </c>
      <c r="R413" s="1364">
        <v>0</v>
      </c>
      <c r="S413" s="1245">
        <v>1500</v>
      </c>
      <c r="T413" s="1246">
        <v>1500</v>
      </c>
      <c r="U413" s="1246">
        <v>0</v>
      </c>
      <c r="V413" s="1246">
        <v>0</v>
      </c>
      <c r="W413" s="1045" t="s">
        <v>1517</v>
      </c>
      <c r="X413" s="657" t="s">
        <v>22</v>
      </c>
      <c r="Y413" s="1847" t="s">
        <v>312</v>
      </c>
      <c r="Z413" s="1847" t="s">
        <v>838</v>
      </c>
      <c r="AA413" s="1848" t="s">
        <v>838</v>
      </c>
    </row>
    <row r="414" spans="1:27" ht="15.75" thickBot="1" x14ac:dyDescent="0.3">
      <c r="A414" s="86"/>
      <c r="B414" s="95"/>
      <c r="C414" s="11"/>
      <c r="D414" s="11"/>
      <c r="E414" s="799"/>
      <c r="F414" s="87"/>
      <c r="G414" s="807"/>
      <c r="H414" s="6"/>
      <c r="I414" s="223"/>
      <c r="J414" s="48"/>
      <c r="K414" s="458"/>
      <c r="L414" s="464"/>
      <c r="M414" s="260"/>
      <c r="N414" s="262"/>
      <c r="O414" s="224"/>
      <c r="P414" s="187"/>
      <c r="Q414" s="187"/>
      <c r="R414" s="2017"/>
      <c r="S414" s="505"/>
      <c r="T414" s="187"/>
      <c r="U414" s="187"/>
      <c r="V414" s="187"/>
      <c r="W414" s="87"/>
      <c r="X414" s="11"/>
      <c r="Y414" s="319"/>
      <c r="Z414" s="383"/>
      <c r="AA414" s="382"/>
    </row>
    <row r="415" spans="1:27" ht="33.75" customHeight="1" thickBot="1" x14ac:dyDescent="0.3">
      <c r="A415" s="378" t="s">
        <v>784</v>
      </c>
      <c r="B415" s="630" t="s">
        <v>784</v>
      </c>
      <c r="C415" s="210" t="s">
        <v>784</v>
      </c>
      <c r="D415" s="116" t="s">
        <v>784</v>
      </c>
      <c r="E415" s="800" t="s">
        <v>784</v>
      </c>
      <c r="F415" s="160" t="s">
        <v>784</v>
      </c>
      <c r="G415" s="803" t="s">
        <v>915</v>
      </c>
      <c r="H415" s="99">
        <f t="shared" ref="H415:K415" si="22">SUM(H411:H414)</f>
        <v>13093</v>
      </c>
      <c r="I415" s="504">
        <f t="shared" si="22"/>
        <v>2259</v>
      </c>
      <c r="J415" s="99">
        <v>0</v>
      </c>
      <c r="K415" s="443">
        <f t="shared" si="22"/>
        <v>4834</v>
      </c>
      <c r="L415" s="443">
        <v>8265</v>
      </c>
      <c r="M415" s="99">
        <f t="shared" ref="M415:V415" si="23">SUM(M411:M414)</f>
        <v>-3431</v>
      </c>
      <c r="N415" s="99">
        <f t="shared" si="23"/>
        <v>4834</v>
      </c>
      <c r="O415" s="438">
        <f t="shared" si="23"/>
        <v>0</v>
      </c>
      <c r="P415" s="413">
        <f t="shared" si="23"/>
        <v>0</v>
      </c>
      <c r="Q415" s="413">
        <f t="shared" si="23"/>
        <v>0</v>
      </c>
      <c r="R415" s="441">
        <f t="shared" si="23"/>
        <v>0</v>
      </c>
      <c r="S415" s="615">
        <f t="shared" si="23"/>
        <v>1500</v>
      </c>
      <c r="T415" s="413">
        <f t="shared" si="23"/>
        <v>6000</v>
      </c>
      <c r="U415" s="413">
        <f t="shared" si="23"/>
        <v>0</v>
      </c>
      <c r="V415" s="413">
        <f t="shared" si="23"/>
        <v>0</v>
      </c>
      <c r="W415" s="134" t="s">
        <v>1660</v>
      </c>
      <c r="X415" s="100" t="s">
        <v>784</v>
      </c>
      <c r="Y415" s="105" t="s">
        <v>784</v>
      </c>
      <c r="Z415" s="407" t="s">
        <v>784</v>
      </c>
      <c r="AA415" s="105" t="s">
        <v>784</v>
      </c>
    </row>
    <row r="416" spans="1:27" ht="47.25" customHeight="1" x14ac:dyDescent="0.25">
      <c r="A416" s="1726" t="s">
        <v>470</v>
      </c>
      <c r="B416" s="1727" t="s">
        <v>471</v>
      </c>
      <c r="C416" s="722">
        <v>2017</v>
      </c>
      <c r="D416" s="722" t="s">
        <v>1021</v>
      </c>
      <c r="E416" s="1728" t="s">
        <v>472</v>
      </c>
      <c r="F416" s="1729" t="s">
        <v>472</v>
      </c>
      <c r="G416" s="1730" t="s">
        <v>473</v>
      </c>
      <c r="H416" s="812">
        <v>550</v>
      </c>
      <c r="I416" s="723">
        <v>397.09199999999998</v>
      </c>
      <c r="J416" s="1384">
        <v>0</v>
      </c>
      <c r="K416" s="1185">
        <v>0</v>
      </c>
      <c r="L416" s="1731">
        <v>152.90799999999999</v>
      </c>
      <c r="M416" s="1732">
        <v>-152.90799999999999</v>
      </c>
      <c r="N416" s="1733">
        <f>L416+M416</f>
        <v>0</v>
      </c>
      <c r="O416" s="1734">
        <v>0</v>
      </c>
      <c r="P416" s="1191">
        <v>0</v>
      </c>
      <c r="Q416" s="1191">
        <v>0</v>
      </c>
      <c r="R416" s="1184">
        <v>0</v>
      </c>
      <c r="S416" s="1735">
        <v>0</v>
      </c>
      <c r="T416" s="1191">
        <v>152.90799999999999</v>
      </c>
      <c r="U416" s="1191">
        <v>0</v>
      </c>
      <c r="V416" s="1191">
        <v>0</v>
      </c>
      <c r="W416" s="722" t="s">
        <v>1587</v>
      </c>
      <c r="X416" s="1736" t="s">
        <v>48</v>
      </c>
      <c r="Y416" s="1199" t="s">
        <v>856</v>
      </c>
      <c r="Z416" s="1198" t="s">
        <v>799</v>
      </c>
      <c r="AA416" s="1199" t="s">
        <v>839</v>
      </c>
    </row>
    <row r="417" spans="1:27" ht="15.75" thickBot="1" x14ac:dyDescent="0.3">
      <c r="A417" s="86"/>
      <c r="B417" s="95"/>
      <c r="C417" s="11"/>
      <c r="D417" s="11"/>
      <c r="E417" s="799"/>
      <c r="F417" s="87"/>
      <c r="G417" s="807"/>
      <c r="H417" s="6"/>
      <c r="I417" s="1382"/>
      <c r="J417" s="48"/>
      <c r="K417" s="440"/>
      <c r="L417" s="463"/>
      <c r="M417" s="260"/>
      <c r="N417" s="263"/>
      <c r="O417" s="31"/>
      <c r="P417" s="8"/>
      <c r="Q417" s="8"/>
      <c r="R417" s="2004"/>
      <c r="S417" s="16"/>
      <c r="T417" s="8"/>
      <c r="U417" s="8"/>
      <c r="V417" s="7"/>
      <c r="W417" s="56"/>
      <c r="X417" s="58"/>
      <c r="Y417" s="225"/>
      <c r="Z417" s="268"/>
      <c r="AA417" s="141"/>
    </row>
    <row r="418" spans="1:27" ht="33.75" customHeight="1" thickBot="1" x14ac:dyDescent="0.3">
      <c r="A418" s="378" t="s">
        <v>784</v>
      </c>
      <c r="B418" s="630" t="s">
        <v>784</v>
      </c>
      <c r="C418" s="210" t="s">
        <v>784</v>
      </c>
      <c r="D418" s="116" t="s">
        <v>784</v>
      </c>
      <c r="E418" s="800" t="s">
        <v>784</v>
      </c>
      <c r="F418" s="160" t="s">
        <v>784</v>
      </c>
      <c r="G418" s="803" t="s">
        <v>914</v>
      </c>
      <c r="H418" s="99">
        <f t="shared" ref="H418:K418" si="24">SUM(H416:H417)</f>
        <v>550</v>
      </c>
      <c r="I418" s="504">
        <f t="shared" si="24"/>
        <v>397.09199999999998</v>
      </c>
      <c r="J418" s="99">
        <v>0</v>
      </c>
      <c r="K418" s="443">
        <f t="shared" si="24"/>
        <v>0</v>
      </c>
      <c r="L418" s="413">
        <v>152.90800000000002</v>
      </c>
      <c r="M418" s="99">
        <f t="shared" ref="M418:V418" si="25">SUM(M416:M417)</f>
        <v>-152.90799999999999</v>
      </c>
      <c r="N418" s="99">
        <f t="shared" si="25"/>
        <v>0</v>
      </c>
      <c r="O418" s="438">
        <f t="shared" si="25"/>
        <v>0</v>
      </c>
      <c r="P418" s="413">
        <f t="shared" si="25"/>
        <v>0</v>
      </c>
      <c r="Q418" s="413">
        <f t="shared" si="25"/>
        <v>0</v>
      </c>
      <c r="R418" s="441">
        <f t="shared" si="25"/>
        <v>0</v>
      </c>
      <c r="S418" s="615">
        <f t="shared" si="25"/>
        <v>0</v>
      </c>
      <c r="T418" s="413">
        <f t="shared" si="25"/>
        <v>152.90799999999999</v>
      </c>
      <c r="U418" s="413">
        <f t="shared" si="25"/>
        <v>0</v>
      </c>
      <c r="V418" s="413">
        <f t="shared" si="25"/>
        <v>0</v>
      </c>
      <c r="W418" s="134" t="s">
        <v>1663</v>
      </c>
      <c r="X418" s="100" t="s">
        <v>784</v>
      </c>
      <c r="Y418" s="105" t="s">
        <v>784</v>
      </c>
      <c r="Z418" s="407" t="s">
        <v>784</v>
      </c>
      <c r="AA418" s="105" t="s">
        <v>784</v>
      </c>
    </row>
    <row r="419" spans="1:27" ht="45" x14ac:dyDescent="0.25">
      <c r="A419" s="1178" t="s">
        <v>924</v>
      </c>
      <c r="B419" s="1179" t="s">
        <v>474</v>
      </c>
      <c r="C419" s="1180">
        <v>2017</v>
      </c>
      <c r="D419" s="1180" t="s">
        <v>1020</v>
      </c>
      <c r="E419" s="1181" t="s">
        <v>14</v>
      </c>
      <c r="F419" s="1182" t="s">
        <v>14</v>
      </c>
      <c r="G419" s="1177" t="s">
        <v>1477</v>
      </c>
      <c r="H419" s="1183">
        <v>8610</v>
      </c>
      <c r="I419" s="1813">
        <v>0</v>
      </c>
      <c r="J419" s="1384">
        <v>314.60000000000002</v>
      </c>
      <c r="K419" s="1185">
        <f>1814.4+5271</f>
        <v>7085.4</v>
      </c>
      <c r="L419" s="1186">
        <v>7400</v>
      </c>
      <c r="M419" s="1187">
        <v>0</v>
      </c>
      <c r="N419" s="1188">
        <f>L419+M419</f>
        <v>7400</v>
      </c>
      <c r="O419" s="1189">
        <v>0</v>
      </c>
      <c r="P419" s="1190">
        <v>0</v>
      </c>
      <c r="Q419" s="1191">
        <v>0</v>
      </c>
      <c r="R419" s="1184">
        <v>0</v>
      </c>
      <c r="S419" s="1192">
        <v>0</v>
      </c>
      <c r="T419" s="1193">
        <v>1210</v>
      </c>
      <c r="U419" s="1194">
        <v>0</v>
      </c>
      <c r="V419" s="1195">
        <v>0</v>
      </c>
      <c r="W419" s="1196" t="s">
        <v>1478</v>
      </c>
      <c r="X419" s="1044" t="s">
        <v>48</v>
      </c>
      <c r="Y419" s="1197" t="s">
        <v>731</v>
      </c>
      <c r="Z419" s="1198" t="s">
        <v>839</v>
      </c>
      <c r="AA419" s="1199" t="s">
        <v>839</v>
      </c>
    </row>
    <row r="420" spans="1:27" ht="48" customHeight="1" x14ac:dyDescent="0.25">
      <c r="A420" s="1306" t="s">
        <v>925</v>
      </c>
      <c r="B420" s="1043" t="s">
        <v>732</v>
      </c>
      <c r="C420" s="657">
        <v>2018</v>
      </c>
      <c r="D420" s="657" t="s">
        <v>816</v>
      </c>
      <c r="E420" s="1045" t="s">
        <v>14</v>
      </c>
      <c r="F420" s="1045" t="s">
        <v>14</v>
      </c>
      <c r="G420" s="1047" t="s">
        <v>475</v>
      </c>
      <c r="H420" s="813">
        <v>7871</v>
      </c>
      <c r="I420" s="721">
        <v>0</v>
      </c>
      <c r="J420" s="813">
        <v>0</v>
      </c>
      <c r="K420" s="1050">
        <v>0</v>
      </c>
      <c r="L420" s="1051">
        <v>2000</v>
      </c>
      <c r="M420" s="1052">
        <v>-2000</v>
      </c>
      <c r="N420" s="1188">
        <f>L420+M420</f>
        <v>0</v>
      </c>
      <c r="O420" s="658">
        <v>0</v>
      </c>
      <c r="P420" s="1052">
        <v>0</v>
      </c>
      <c r="Q420" s="1310">
        <v>0</v>
      </c>
      <c r="R420" s="1049">
        <v>0</v>
      </c>
      <c r="S420" s="1244">
        <v>0</v>
      </c>
      <c r="T420" s="1310">
        <v>7871</v>
      </c>
      <c r="U420" s="1051">
        <v>0</v>
      </c>
      <c r="V420" s="1310">
        <v>0</v>
      </c>
      <c r="W420" s="689" t="s">
        <v>1587</v>
      </c>
      <c r="X420" s="657" t="s">
        <v>22</v>
      </c>
      <c r="Y420" s="1061" t="s">
        <v>571</v>
      </c>
      <c r="Z420" s="1061" t="s">
        <v>838</v>
      </c>
      <c r="AA420" s="1062" t="s">
        <v>838</v>
      </c>
    </row>
    <row r="421" spans="1:27" ht="15.75" thickBot="1" x14ac:dyDescent="0.3">
      <c r="A421" s="180"/>
      <c r="B421" s="228"/>
      <c r="C421" s="58"/>
      <c r="D421" s="58"/>
      <c r="E421" s="798"/>
      <c r="F421" s="92"/>
      <c r="G421" s="806"/>
      <c r="H421" s="182"/>
      <c r="I421" s="1382"/>
      <c r="J421" s="48"/>
      <c r="K421" s="440"/>
      <c r="L421" s="445"/>
      <c r="M421" s="260"/>
      <c r="N421" s="261"/>
      <c r="O421" s="226"/>
      <c r="P421" s="197"/>
      <c r="Q421" s="9"/>
      <c r="R421" s="560"/>
      <c r="S421" s="222"/>
      <c r="T421" s="9"/>
      <c r="U421" s="222"/>
      <c r="V421" s="9"/>
      <c r="W421" s="196"/>
      <c r="X421" s="58"/>
      <c r="Y421" s="269"/>
      <c r="Z421" s="268"/>
      <c r="AA421" s="141"/>
    </row>
    <row r="422" spans="1:27" ht="33.75" customHeight="1" thickBot="1" x14ac:dyDescent="0.3">
      <c r="A422" s="420" t="s">
        <v>784</v>
      </c>
      <c r="B422" s="630" t="s">
        <v>784</v>
      </c>
      <c r="C422" s="740" t="s">
        <v>784</v>
      </c>
      <c r="D422" s="421" t="s">
        <v>784</v>
      </c>
      <c r="E422" s="818" t="s">
        <v>784</v>
      </c>
      <c r="F422" s="422" t="s">
        <v>784</v>
      </c>
      <c r="G422" s="808" t="s">
        <v>913</v>
      </c>
      <c r="H422" s="423">
        <f t="shared" ref="H422:K422" si="26">SUM(H419:H421)</f>
        <v>16481</v>
      </c>
      <c r="I422" s="1902">
        <f t="shared" si="26"/>
        <v>0</v>
      </c>
      <c r="J422" s="99">
        <v>314.60000000000002</v>
      </c>
      <c r="K422" s="442">
        <f t="shared" si="26"/>
        <v>7085.4</v>
      </c>
      <c r="L422" s="442">
        <v>9400</v>
      </c>
      <c r="M422" s="423">
        <f t="shared" ref="M422:V422" si="27">SUM(M419:M421)</f>
        <v>-2000</v>
      </c>
      <c r="N422" s="423">
        <f t="shared" si="27"/>
        <v>7400</v>
      </c>
      <c r="O422" s="610">
        <f t="shared" si="27"/>
        <v>0</v>
      </c>
      <c r="P422" s="413">
        <f t="shared" si="27"/>
        <v>0</v>
      </c>
      <c r="Q422" s="424">
        <f t="shared" si="27"/>
        <v>0</v>
      </c>
      <c r="R422" s="2018">
        <f t="shared" si="27"/>
        <v>0</v>
      </c>
      <c r="S422" s="2002">
        <f t="shared" si="27"/>
        <v>0</v>
      </c>
      <c r="T422" s="424">
        <f t="shared" si="27"/>
        <v>9081</v>
      </c>
      <c r="U422" s="424">
        <f t="shared" si="27"/>
        <v>0</v>
      </c>
      <c r="V422" s="424">
        <f t="shared" si="27"/>
        <v>0</v>
      </c>
      <c r="W422" s="134" t="s">
        <v>1661</v>
      </c>
      <c r="X422" s="742" t="s">
        <v>784</v>
      </c>
      <c r="Y422" s="741" t="s">
        <v>784</v>
      </c>
      <c r="Z422" s="407" t="s">
        <v>784</v>
      </c>
      <c r="AA422" s="105" t="s">
        <v>784</v>
      </c>
    </row>
    <row r="423" spans="1:27" s="686" customFormat="1" ht="30" x14ac:dyDescent="0.25">
      <c r="A423" s="1510" t="s">
        <v>476</v>
      </c>
      <c r="B423" s="1511" t="s">
        <v>477</v>
      </c>
      <c r="C423" s="1512">
        <v>2017</v>
      </c>
      <c r="D423" s="823" t="s">
        <v>1020</v>
      </c>
      <c r="E423" s="1513" t="s">
        <v>478</v>
      </c>
      <c r="F423" s="1513" t="s">
        <v>478</v>
      </c>
      <c r="G423" s="1514" t="s">
        <v>479</v>
      </c>
      <c r="H423" s="1515">
        <v>6898.6803600000003</v>
      </c>
      <c r="I423" s="1526">
        <v>3391.8398999999999</v>
      </c>
      <c r="J423" s="1899">
        <v>3334.3398999999999</v>
      </c>
      <c r="K423" s="1783">
        <f>3506.84046-3334.3399</f>
        <v>172.50055999999995</v>
      </c>
      <c r="L423" s="1785">
        <v>3508.1601000000001</v>
      </c>
      <c r="M423" s="1516">
        <v>-1.3196399999999999</v>
      </c>
      <c r="N423" s="1517">
        <f t="shared" ref="N423:N486" si="28">L423+M423</f>
        <v>3506.8404599999999</v>
      </c>
      <c r="O423" s="1518">
        <v>0</v>
      </c>
      <c r="P423" s="1519">
        <v>0</v>
      </c>
      <c r="Q423" s="1519">
        <v>0</v>
      </c>
      <c r="R423" s="1520">
        <v>0</v>
      </c>
      <c r="S423" s="1521">
        <v>0</v>
      </c>
      <c r="T423" s="1519">
        <v>0</v>
      </c>
      <c r="U423" s="1522">
        <v>0</v>
      </c>
      <c r="V423" s="1522">
        <v>0</v>
      </c>
      <c r="W423" s="1512" t="s">
        <v>1544</v>
      </c>
      <c r="X423" s="1512" t="s">
        <v>48</v>
      </c>
      <c r="Y423" s="1523" t="s">
        <v>27</v>
      </c>
      <c r="Z423" s="1524" t="s">
        <v>839</v>
      </c>
      <c r="AA423" s="1523" t="s">
        <v>839</v>
      </c>
    </row>
    <row r="424" spans="1:27" ht="30" x14ac:dyDescent="0.25">
      <c r="A424" s="326" t="s">
        <v>481</v>
      </c>
      <c r="B424" s="332" t="s">
        <v>482</v>
      </c>
      <c r="C424" s="330">
        <v>2017</v>
      </c>
      <c r="D424" s="72" t="s">
        <v>1020</v>
      </c>
      <c r="E424" s="333" t="s">
        <v>483</v>
      </c>
      <c r="F424" s="333" t="s">
        <v>483</v>
      </c>
      <c r="G424" s="1121" t="s">
        <v>484</v>
      </c>
      <c r="H424" s="327">
        <v>7900</v>
      </c>
      <c r="I424" s="591">
        <v>0</v>
      </c>
      <c r="J424" s="17">
        <v>0</v>
      </c>
      <c r="K424" s="300">
        <v>0</v>
      </c>
      <c r="L424" s="308">
        <v>0</v>
      </c>
      <c r="M424" s="328">
        <v>0</v>
      </c>
      <c r="N424" s="2079">
        <f t="shared" si="28"/>
        <v>0</v>
      </c>
      <c r="O424" s="609">
        <v>0</v>
      </c>
      <c r="P424" s="33">
        <v>0</v>
      </c>
      <c r="Q424" s="33">
        <v>0</v>
      </c>
      <c r="R424" s="447">
        <v>0</v>
      </c>
      <c r="S424" s="334">
        <v>0</v>
      </c>
      <c r="T424" s="33">
        <v>0</v>
      </c>
      <c r="U424" s="34">
        <v>7900</v>
      </c>
      <c r="V424" s="34">
        <v>0</v>
      </c>
      <c r="W424" s="329" t="s">
        <v>938</v>
      </c>
      <c r="X424" s="330" t="s">
        <v>16</v>
      </c>
      <c r="Y424" s="200" t="s">
        <v>939</v>
      </c>
      <c r="Z424" s="331" t="s">
        <v>838</v>
      </c>
      <c r="AA424" s="200" t="s">
        <v>838</v>
      </c>
    </row>
    <row r="425" spans="1:27" ht="25.5" x14ac:dyDescent="0.25">
      <c r="A425" s="326" t="s">
        <v>485</v>
      </c>
      <c r="B425" s="321" t="s">
        <v>486</v>
      </c>
      <c r="C425" s="209">
        <v>2017</v>
      </c>
      <c r="D425" s="4" t="s">
        <v>1020</v>
      </c>
      <c r="E425" s="333" t="s">
        <v>984</v>
      </c>
      <c r="F425" s="333" t="s">
        <v>984</v>
      </c>
      <c r="G425" s="1121" t="s">
        <v>487</v>
      </c>
      <c r="H425" s="323">
        <v>3300</v>
      </c>
      <c r="I425" s="1903">
        <v>0</v>
      </c>
      <c r="J425" s="17">
        <v>0</v>
      </c>
      <c r="K425" s="300">
        <v>0</v>
      </c>
      <c r="L425" s="632">
        <v>0</v>
      </c>
      <c r="M425" s="328">
        <v>0</v>
      </c>
      <c r="N425" s="318">
        <f t="shared" si="28"/>
        <v>0</v>
      </c>
      <c r="O425" s="608">
        <v>0</v>
      </c>
      <c r="P425" s="35">
        <v>600</v>
      </c>
      <c r="Q425" s="35">
        <v>0</v>
      </c>
      <c r="R425" s="793">
        <v>0</v>
      </c>
      <c r="S425" s="325">
        <v>2700</v>
      </c>
      <c r="T425" s="35">
        <v>2700</v>
      </c>
      <c r="U425" s="324">
        <v>0</v>
      </c>
      <c r="V425" s="324">
        <v>0</v>
      </c>
      <c r="W425" s="55" t="s">
        <v>784</v>
      </c>
      <c r="X425" s="330" t="s">
        <v>22</v>
      </c>
      <c r="Y425" s="200" t="s">
        <v>894</v>
      </c>
      <c r="Z425" s="331" t="s">
        <v>838</v>
      </c>
      <c r="AA425" s="200" t="s">
        <v>838</v>
      </c>
    </row>
    <row r="426" spans="1:27" ht="25.5" x14ac:dyDescent="0.25">
      <c r="A426" s="326" t="s">
        <v>489</v>
      </c>
      <c r="B426" s="321" t="s">
        <v>490</v>
      </c>
      <c r="C426" s="209">
        <v>2017</v>
      </c>
      <c r="D426" s="4" t="s">
        <v>1019</v>
      </c>
      <c r="E426" s="322" t="s">
        <v>985</v>
      </c>
      <c r="F426" s="322" t="s">
        <v>985</v>
      </c>
      <c r="G426" s="1119" t="s">
        <v>491</v>
      </c>
      <c r="H426" s="323">
        <v>14000</v>
      </c>
      <c r="I426" s="1903">
        <v>0</v>
      </c>
      <c r="J426" s="17">
        <v>0</v>
      </c>
      <c r="K426" s="300">
        <v>0</v>
      </c>
      <c r="L426" s="632">
        <v>0</v>
      </c>
      <c r="M426" s="328">
        <v>0</v>
      </c>
      <c r="N426" s="318">
        <f t="shared" si="28"/>
        <v>0</v>
      </c>
      <c r="O426" s="608">
        <v>0</v>
      </c>
      <c r="P426" s="35">
        <v>0</v>
      </c>
      <c r="Q426" s="35">
        <v>0</v>
      </c>
      <c r="R426" s="793">
        <v>0</v>
      </c>
      <c r="S426" s="325">
        <v>0</v>
      </c>
      <c r="T426" s="35">
        <v>0</v>
      </c>
      <c r="U426" s="324">
        <v>14000</v>
      </c>
      <c r="V426" s="324">
        <v>0</v>
      </c>
      <c r="W426" s="330" t="s">
        <v>784</v>
      </c>
      <c r="X426" s="330" t="s">
        <v>22</v>
      </c>
      <c r="Y426" s="200" t="s">
        <v>731</v>
      </c>
      <c r="Z426" s="331" t="s">
        <v>838</v>
      </c>
      <c r="AA426" s="200" t="s">
        <v>838</v>
      </c>
    </row>
    <row r="427" spans="1:27" s="703" customFormat="1" ht="25.5" x14ac:dyDescent="0.25">
      <c r="A427" s="1801" t="s">
        <v>492</v>
      </c>
      <c r="B427" s="1802" t="s">
        <v>493</v>
      </c>
      <c r="C427" s="685">
        <v>2017</v>
      </c>
      <c r="D427" s="823" t="s">
        <v>1019</v>
      </c>
      <c r="E427" s="1788" t="s">
        <v>494</v>
      </c>
      <c r="F427" s="1788" t="s">
        <v>494</v>
      </c>
      <c r="G427" s="1789" t="s">
        <v>495</v>
      </c>
      <c r="H427" s="1790">
        <v>2723.4592400000001</v>
      </c>
      <c r="I427" s="1904">
        <v>678.81</v>
      </c>
      <c r="J427" s="700">
        <v>2044.64924</v>
      </c>
      <c r="K427" s="1791">
        <v>0</v>
      </c>
      <c r="L427" s="1792">
        <v>2088.8249999999998</v>
      </c>
      <c r="M427" s="1793">
        <v>-44.175759999999997</v>
      </c>
      <c r="N427" s="1794">
        <f t="shared" si="28"/>
        <v>2044.6492399999997</v>
      </c>
      <c r="O427" s="1795">
        <v>0</v>
      </c>
      <c r="P427" s="1796">
        <v>0</v>
      </c>
      <c r="Q427" s="1796">
        <v>0</v>
      </c>
      <c r="R427" s="1797">
        <v>0</v>
      </c>
      <c r="S427" s="1798">
        <v>0</v>
      </c>
      <c r="T427" s="1796">
        <v>0</v>
      </c>
      <c r="U427" s="1799">
        <v>0</v>
      </c>
      <c r="V427" s="1799">
        <v>0</v>
      </c>
      <c r="W427" s="687" t="s">
        <v>1598</v>
      </c>
      <c r="X427" s="1800" t="s">
        <v>877</v>
      </c>
      <c r="Y427" s="1460" t="s">
        <v>659</v>
      </c>
      <c r="Z427" s="1458" t="s">
        <v>839</v>
      </c>
      <c r="AA427" s="1460" t="s">
        <v>839</v>
      </c>
    </row>
    <row r="428" spans="1:27" s="710" customFormat="1" ht="25.5" x14ac:dyDescent="0.25">
      <c r="A428" s="386" t="s">
        <v>496</v>
      </c>
      <c r="B428" s="476" t="s">
        <v>497</v>
      </c>
      <c r="C428" s="477">
        <v>2017</v>
      </c>
      <c r="D428" s="80" t="s">
        <v>1019</v>
      </c>
      <c r="E428" s="478" t="s">
        <v>983</v>
      </c>
      <c r="F428" s="478" t="s">
        <v>983</v>
      </c>
      <c r="G428" s="1130" t="s">
        <v>498</v>
      </c>
      <c r="H428" s="479">
        <v>113</v>
      </c>
      <c r="I428" s="594">
        <v>0</v>
      </c>
      <c r="J428" s="22">
        <v>112.7</v>
      </c>
      <c r="K428" s="711">
        <v>0</v>
      </c>
      <c r="L428" s="712">
        <v>113</v>
      </c>
      <c r="M428" s="480">
        <v>0</v>
      </c>
      <c r="N428" s="481">
        <f t="shared" si="28"/>
        <v>113</v>
      </c>
      <c r="O428" s="612">
        <v>0</v>
      </c>
      <c r="P428" s="380">
        <v>0</v>
      </c>
      <c r="Q428" s="380">
        <v>0</v>
      </c>
      <c r="R428" s="794">
        <v>0</v>
      </c>
      <c r="S428" s="482">
        <v>0</v>
      </c>
      <c r="T428" s="380">
        <v>0</v>
      </c>
      <c r="U428" s="483">
        <v>0</v>
      </c>
      <c r="V428" s="483">
        <v>0</v>
      </c>
      <c r="W428" s="484" t="s">
        <v>784</v>
      </c>
      <c r="X428" s="387" t="s">
        <v>877</v>
      </c>
      <c r="Y428" s="201" t="s">
        <v>23</v>
      </c>
      <c r="Z428" s="410" t="s">
        <v>839</v>
      </c>
      <c r="AA428" s="201" t="s">
        <v>839</v>
      </c>
    </row>
    <row r="429" spans="1:27" s="710" customFormat="1" ht="25.5" x14ac:dyDescent="0.25">
      <c r="A429" s="386" t="s">
        <v>499</v>
      </c>
      <c r="B429" s="476" t="s">
        <v>500</v>
      </c>
      <c r="C429" s="477">
        <v>2017</v>
      </c>
      <c r="D429" s="80" t="s">
        <v>1019</v>
      </c>
      <c r="E429" s="478" t="s">
        <v>983</v>
      </c>
      <c r="F429" s="478" t="s">
        <v>983</v>
      </c>
      <c r="G429" s="1130" t="s">
        <v>501</v>
      </c>
      <c r="H429" s="479">
        <v>75</v>
      </c>
      <c r="I429" s="594">
        <v>0</v>
      </c>
      <c r="J429" s="22">
        <v>74.75</v>
      </c>
      <c r="K429" s="711">
        <v>0</v>
      </c>
      <c r="L429" s="712">
        <v>75</v>
      </c>
      <c r="M429" s="480">
        <v>0</v>
      </c>
      <c r="N429" s="481">
        <f t="shared" si="28"/>
        <v>75</v>
      </c>
      <c r="O429" s="612">
        <v>0</v>
      </c>
      <c r="P429" s="380">
        <v>0</v>
      </c>
      <c r="Q429" s="380">
        <v>0</v>
      </c>
      <c r="R429" s="794">
        <v>0</v>
      </c>
      <c r="S429" s="482">
        <v>0</v>
      </c>
      <c r="T429" s="380">
        <v>0</v>
      </c>
      <c r="U429" s="483">
        <v>0</v>
      </c>
      <c r="V429" s="483">
        <v>0</v>
      </c>
      <c r="W429" s="484" t="s">
        <v>784</v>
      </c>
      <c r="X429" s="387" t="s">
        <v>877</v>
      </c>
      <c r="Y429" s="201" t="s">
        <v>23</v>
      </c>
      <c r="Z429" s="410" t="s">
        <v>839</v>
      </c>
      <c r="AA429" s="201" t="s">
        <v>839</v>
      </c>
    </row>
    <row r="430" spans="1:27" s="710" customFormat="1" ht="25.5" x14ac:dyDescent="0.25">
      <c r="A430" s="386" t="s">
        <v>502</v>
      </c>
      <c r="B430" s="476" t="s">
        <v>503</v>
      </c>
      <c r="C430" s="477">
        <v>2017</v>
      </c>
      <c r="D430" s="80" t="s">
        <v>1019</v>
      </c>
      <c r="E430" s="478" t="s">
        <v>504</v>
      </c>
      <c r="F430" s="478" t="s">
        <v>504</v>
      </c>
      <c r="G430" s="1130" t="s">
        <v>505</v>
      </c>
      <c r="H430" s="479">
        <v>345</v>
      </c>
      <c r="I430" s="594">
        <v>0</v>
      </c>
      <c r="J430" s="22">
        <v>344.99299999999999</v>
      </c>
      <c r="K430" s="711">
        <v>0</v>
      </c>
      <c r="L430" s="712">
        <v>345</v>
      </c>
      <c r="M430" s="480">
        <v>0</v>
      </c>
      <c r="N430" s="481">
        <f t="shared" si="28"/>
        <v>345</v>
      </c>
      <c r="O430" s="612">
        <v>0</v>
      </c>
      <c r="P430" s="380">
        <v>0</v>
      </c>
      <c r="Q430" s="380">
        <v>0</v>
      </c>
      <c r="R430" s="794">
        <v>0</v>
      </c>
      <c r="S430" s="482">
        <v>0</v>
      </c>
      <c r="T430" s="380">
        <v>0</v>
      </c>
      <c r="U430" s="483">
        <v>0</v>
      </c>
      <c r="V430" s="483">
        <v>0</v>
      </c>
      <c r="W430" s="123" t="s">
        <v>784</v>
      </c>
      <c r="X430" s="387" t="s">
        <v>877</v>
      </c>
      <c r="Y430" s="201" t="s">
        <v>23</v>
      </c>
      <c r="Z430" s="410" t="s">
        <v>839</v>
      </c>
      <c r="AA430" s="201" t="s">
        <v>839</v>
      </c>
    </row>
    <row r="431" spans="1:27" ht="38.25" customHeight="1" x14ac:dyDescent="0.25">
      <c r="A431" s="326" t="s">
        <v>506</v>
      </c>
      <c r="B431" s="321" t="s">
        <v>507</v>
      </c>
      <c r="C431" s="209">
        <v>2017</v>
      </c>
      <c r="D431" s="4" t="s">
        <v>1019</v>
      </c>
      <c r="E431" s="322" t="s">
        <v>977</v>
      </c>
      <c r="F431" s="322" t="s">
        <v>977</v>
      </c>
      <c r="G431" s="1119" t="s">
        <v>878</v>
      </c>
      <c r="H431" s="323">
        <v>2500</v>
      </c>
      <c r="I431" s="1903">
        <v>296.45</v>
      </c>
      <c r="J431" s="17">
        <v>0</v>
      </c>
      <c r="K431" s="300">
        <v>0</v>
      </c>
      <c r="L431" s="632">
        <v>0</v>
      </c>
      <c r="M431" s="480">
        <v>0</v>
      </c>
      <c r="N431" s="1737">
        <f t="shared" si="28"/>
        <v>0</v>
      </c>
      <c r="O431" s="608">
        <v>0</v>
      </c>
      <c r="P431" s="35">
        <v>0</v>
      </c>
      <c r="Q431" s="35">
        <v>0</v>
      </c>
      <c r="R431" s="793">
        <v>0</v>
      </c>
      <c r="S431" s="325">
        <v>0</v>
      </c>
      <c r="T431" s="35">
        <v>2203.5500000000002</v>
      </c>
      <c r="U431" s="324">
        <v>0</v>
      </c>
      <c r="V431" s="324">
        <v>0</v>
      </c>
      <c r="W431" s="209" t="s">
        <v>879</v>
      </c>
      <c r="X431" s="330" t="s">
        <v>22</v>
      </c>
      <c r="Y431" s="200" t="s">
        <v>894</v>
      </c>
      <c r="Z431" s="331" t="s">
        <v>838</v>
      </c>
      <c r="AA431" s="200" t="s">
        <v>838</v>
      </c>
    </row>
    <row r="432" spans="1:27" ht="30" x14ac:dyDescent="0.25">
      <c r="A432" s="326" t="s">
        <v>508</v>
      </c>
      <c r="B432" s="321" t="s">
        <v>509</v>
      </c>
      <c r="C432" s="209">
        <v>2017</v>
      </c>
      <c r="D432" s="4" t="s">
        <v>1019</v>
      </c>
      <c r="E432" s="322" t="s">
        <v>978</v>
      </c>
      <c r="F432" s="322" t="s">
        <v>978</v>
      </c>
      <c r="G432" s="1119" t="s">
        <v>1462</v>
      </c>
      <c r="H432" s="323">
        <v>500</v>
      </c>
      <c r="I432" s="1903">
        <v>0</v>
      </c>
      <c r="J432" s="17">
        <v>0</v>
      </c>
      <c r="K432" s="300">
        <v>500</v>
      </c>
      <c r="L432" s="632">
        <v>500</v>
      </c>
      <c r="M432" s="480">
        <v>0</v>
      </c>
      <c r="N432" s="1737">
        <f t="shared" si="28"/>
        <v>500</v>
      </c>
      <c r="O432" s="608">
        <v>0</v>
      </c>
      <c r="P432" s="35">
        <v>0</v>
      </c>
      <c r="Q432" s="35">
        <v>0</v>
      </c>
      <c r="R432" s="793">
        <v>0</v>
      </c>
      <c r="S432" s="325">
        <v>0</v>
      </c>
      <c r="T432" s="35">
        <v>0</v>
      </c>
      <c r="U432" s="324">
        <v>0</v>
      </c>
      <c r="V432" s="324">
        <v>0</v>
      </c>
      <c r="W432" s="335" t="s">
        <v>1463</v>
      </c>
      <c r="X432" s="330" t="s">
        <v>16</v>
      </c>
      <c r="Y432" s="200" t="s">
        <v>571</v>
      </c>
      <c r="Z432" s="331" t="s">
        <v>838</v>
      </c>
      <c r="AA432" s="200" t="s">
        <v>838</v>
      </c>
    </row>
    <row r="433" spans="1:27" s="710" customFormat="1" ht="25.5" x14ac:dyDescent="0.25">
      <c r="A433" s="386" t="s">
        <v>510</v>
      </c>
      <c r="B433" s="476" t="s">
        <v>511</v>
      </c>
      <c r="C433" s="477">
        <v>2017</v>
      </c>
      <c r="D433" s="80" t="s">
        <v>1019</v>
      </c>
      <c r="E433" s="478" t="s">
        <v>512</v>
      </c>
      <c r="F433" s="478" t="s">
        <v>512</v>
      </c>
      <c r="G433" s="1130" t="s">
        <v>513</v>
      </c>
      <c r="H433" s="479">
        <v>988</v>
      </c>
      <c r="I433" s="594">
        <v>0</v>
      </c>
      <c r="J433" s="22">
        <v>864.35</v>
      </c>
      <c r="K433" s="711">
        <v>124</v>
      </c>
      <c r="L433" s="712">
        <v>988</v>
      </c>
      <c r="M433" s="480">
        <v>0</v>
      </c>
      <c r="N433" s="481">
        <f t="shared" si="28"/>
        <v>988</v>
      </c>
      <c r="O433" s="612">
        <v>0</v>
      </c>
      <c r="P433" s="380">
        <v>0</v>
      </c>
      <c r="Q433" s="380">
        <v>0</v>
      </c>
      <c r="R433" s="794">
        <v>0</v>
      </c>
      <c r="S433" s="482">
        <v>0</v>
      </c>
      <c r="T433" s="380">
        <v>0</v>
      </c>
      <c r="U433" s="483">
        <v>0</v>
      </c>
      <c r="V433" s="483">
        <v>0</v>
      </c>
      <c r="W433" s="484" t="s">
        <v>784</v>
      </c>
      <c r="X433" s="387" t="s">
        <v>877</v>
      </c>
      <c r="Y433" s="201" t="s">
        <v>329</v>
      </c>
      <c r="Z433" s="410" t="s">
        <v>839</v>
      </c>
      <c r="AA433" s="201" t="s">
        <v>839</v>
      </c>
    </row>
    <row r="434" spans="1:27" ht="25.5" x14ac:dyDescent="0.25">
      <c r="A434" s="326" t="s">
        <v>514</v>
      </c>
      <c r="B434" s="332" t="s">
        <v>515</v>
      </c>
      <c r="C434" s="330">
        <v>2017</v>
      </c>
      <c r="D434" s="5" t="s">
        <v>1019</v>
      </c>
      <c r="E434" s="333" t="s">
        <v>516</v>
      </c>
      <c r="F434" s="333" t="s">
        <v>516</v>
      </c>
      <c r="G434" s="1121" t="s">
        <v>517</v>
      </c>
      <c r="H434" s="327">
        <v>3500</v>
      </c>
      <c r="I434" s="591">
        <v>0</v>
      </c>
      <c r="J434" s="17">
        <v>0</v>
      </c>
      <c r="K434" s="300">
        <v>3500</v>
      </c>
      <c r="L434" s="308">
        <v>3500</v>
      </c>
      <c r="M434" s="328">
        <v>0</v>
      </c>
      <c r="N434" s="2079">
        <f t="shared" si="28"/>
        <v>3500</v>
      </c>
      <c r="O434" s="609">
        <v>0</v>
      </c>
      <c r="P434" s="33">
        <v>0</v>
      </c>
      <c r="Q434" s="33">
        <v>0</v>
      </c>
      <c r="R434" s="447">
        <v>0</v>
      </c>
      <c r="S434" s="334">
        <v>0</v>
      </c>
      <c r="T434" s="33">
        <v>0</v>
      </c>
      <c r="U434" s="34">
        <v>0</v>
      </c>
      <c r="V434" s="34">
        <v>0</v>
      </c>
      <c r="W434" s="329" t="s">
        <v>1464</v>
      </c>
      <c r="X434" s="330" t="s">
        <v>16</v>
      </c>
      <c r="Y434" s="200" t="s">
        <v>571</v>
      </c>
      <c r="Z434" s="331" t="s">
        <v>838</v>
      </c>
      <c r="AA434" s="200" t="s">
        <v>838</v>
      </c>
    </row>
    <row r="435" spans="1:27" ht="25.5" x14ac:dyDescent="0.25">
      <c r="A435" s="326" t="s">
        <v>519</v>
      </c>
      <c r="B435" s="321" t="s">
        <v>676</v>
      </c>
      <c r="C435" s="209">
        <v>2017</v>
      </c>
      <c r="D435" s="4" t="s">
        <v>1019</v>
      </c>
      <c r="E435" s="322" t="s">
        <v>977</v>
      </c>
      <c r="F435" s="322" t="s">
        <v>977</v>
      </c>
      <c r="G435" s="1119" t="s">
        <v>520</v>
      </c>
      <c r="H435" s="323">
        <v>6325</v>
      </c>
      <c r="I435" s="1903">
        <v>0</v>
      </c>
      <c r="J435" s="17">
        <v>0</v>
      </c>
      <c r="K435" s="300">
        <v>6325</v>
      </c>
      <c r="L435" s="632">
        <v>6325</v>
      </c>
      <c r="M435" s="328">
        <v>0</v>
      </c>
      <c r="N435" s="318">
        <f t="shared" si="28"/>
        <v>6325</v>
      </c>
      <c r="O435" s="608">
        <v>0</v>
      </c>
      <c r="P435" s="35">
        <v>0</v>
      </c>
      <c r="Q435" s="35">
        <v>0</v>
      </c>
      <c r="R435" s="793">
        <v>0</v>
      </c>
      <c r="S435" s="325">
        <v>0</v>
      </c>
      <c r="T435" s="35">
        <v>0</v>
      </c>
      <c r="U435" s="324">
        <v>0</v>
      </c>
      <c r="V435" s="324">
        <v>0</v>
      </c>
      <c r="W435" s="335" t="s">
        <v>784</v>
      </c>
      <c r="X435" s="330" t="s">
        <v>48</v>
      </c>
      <c r="Y435" s="200" t="s">
        <v>571</v>
      </c>
      <c r="Z435" s="331" t="s">
        <v>839</v>
      </c>
      <c r="AA435" s="200" t="s">
        <v>839</v>
      </c>
    </row>
    <row r="436" spans="1:27" s="686" customFormat="1" ht="25.5" x14ac:dyDescent="0.25">
      <c r="A436" s="1527" t="s">
        <v>521</v>
      </c>
      <c r="B436" s="1511" t="s">
        <v>677</v>
      </c>
      <c r="C436" s="1512">
        <v>2017</v>
      </c>
      <c r="D436" s="1485" t="s">
        <v>1019</v>
      </c>
      <c r="E436" s="1513" t="s">
        <v>488</v>
      </c>
      <c r="F436" s="1513" t="s">
        <v>488</v>
      </c>
      <c r="G436" s="1528" t="s">
        <v>522</v>
      </c>
      <c r="H436" s="1515">
        <v>4198.768</v>
      </c>
      <c r="I436" s="1526">
        <v>0</v>
      </c>
      <c r="J436" s="691">
        <v>2996.8090000000002</v>
      </c>
      <c r="K436" s="1942">
        <f>4198.768-2996.809</f>
        <v>1201.9589999999998</v>
      </c>
      <c r="L436" s="1786">
        <v>5000</v>
      </c>
      <c r="M436" s="1531">
        <v>-801.23199999999997</v>
      </c>
      <c r="N436" s="1517">
        <f t="shared" si="28"/>
        <v>4198.768</v>
      </c>
      <c r="O436" s="1518">
        <v>0</v>
      </c>
      <c r="P436" s="1519">
        <v>0</v>
      </c>
      <c r="Q436" s="1519">
        <v>0</v>
      </c>
      <c r="R436" s="1520">
        <v>0</v>
      </c>
      <c r="S436" s="1521">
        <v>0</v>
      </c>
      <c r="T436" s="1519">
        <v>0</v>
      </c>
      <c r="U436" s="1522">
        <v>0</v>
      </c>
      <c r="V436" s="1522">
        <v>0</v>
      </c>
      <c r="W436" s="1525" t="s">
        <v>1545</v>
      </c>
      <c r="X436" s="1532" t="s">
        <v>48</v>
      </c>
      <c r="Y436" s="942" t="s">
        <v>571</v>
      </c>
      <c r="Z436" s="1533" t="s">
        <v>839</v>
      </c>
      <c r="AA436" s="942" t="s">
        <v>839</v>
      </c>
    </row>
    <row r="437" spans="1:27" s="686" customFormat="1" ht="25.5" x14ac:dyDescent="0.25">
      <c r="A437" s="1801" t="s">
        <v>523</v>
      </c>
      <c r="B437" s="1802" t="s">
        <v>524</v>
      </c>
      <c r="C437" s="685">
        <v>2017</v>
      </c>
      <c r="D437" s="823" t="s">
        <v>1019</v>
      </c>
      <c r="E437" s="1788" t="s">
        <v>494</v>
      </c>
      <c r="F437" s="1788" t="s">
        <v>494</v>
      </c>
      <c r="G437" s="1789" t="s">
        <v>525</v>
      </c>
      <c r="H437" s="1790">
        <v>1475</v>
      </c>
      <c r="I437" s="1904">
        <v>85</v>
      </c>
      <c r="J437" s="700">
        <v>1390.33158</v>
      </c>
      <c r="K437" s="1791">
        <v>0</v>
      </c>
      <c r="L437" s="1792">
        <v>1415</v>
      </c>
      <c r="M437" s="1793">
        <v>-25</v>
      </c>
      <c r="N437" s="1794">
        <f t="shared" si="28"/>
        <v>1390</v>
      </c>
      <c r="O437" s="1795">
        <v>0</v>
      </c>
      <c r="P437" s="1796">
        <v>0</v>
      </c>
      <c r="Q437" s="1796">
        <v>0</v>
      </c>
      <c r="R437" s="1797">
        <v>0</v>
      </c>
      <c r="S437" s="1798">
        <v>0</v>
      </c>
      <c r="T437" s="1796">
        <v>0</v>
      </c>
      <c r="U437" s="1799">
        <v>0</v>
      </c>
      <c r="V437" s="1799">
        <v>0</v>
      </c>
      <c r="W437" s="687" t="s">
        <v>1597</v>
      </c>
      <c r="X437" s="1800" t="s">
        <v>877</v>
      </c>
      <c r="Y437" s="1460" t="s">
        <v>659</v>
      </c>
      <c r="Z437" s="1458" t="s">
        <v>839</v>
      </c>
      <c r="AA437" s="1460" t="s">
        <v>839</v>
      </c>
    </row>
    <row r="438" spans="1:27" ht="32.25" customHeight="1" x14ac:dyDescent="0.25">
      <c r="A438" s="326" t="s">
        <v>526</v>
      </c>
      <c r="B438" s="321" t="s">
        <v>678</v>
      </c>
      <c r="C438" s="209">
        <v>2017</v>
      </c>
      <c r="D438" s="4" t="s">
        <v>1019</v>
      </c>
      <c r="E438" s="333" t="s">
        <v>986</v>
      </c>
      <c r="F438" s="333" t="s">
        <v>986</v>
      </c>
      <c r="G438" s="1121" t="s">
        <v>527</v>
      </c>
      <c r="H438" s="323">
        <v>10000</v>
      </c>
      <c r="I438" s="1903">
        <v>0</v>
      </c>
      <c r="J438" s="17">
        <v>0</v>
      </c>
      <c r="K438" s="300">
        <v>0</v>
      </c>
      <c r="L438" s="308">
        <v>0</v>
      </c>
      <c r="M438" s="328">
        <v>0</v>
      </c>
      <c r="N438" s="318">
        <f t="shared" si="28"/>
        <v>0</v>
      </c>
      <c r="O438" s="608">
        <v>0</v>
      </c>
      <c r="P438" s="35">
        <v>0</v>
      </c>
      <c r="Q438" s="35">
        <v>0</v>
      </c>
      <c r="R438" s="793">
        <v>0</v>
      </c>
      <c r="S438" s="325">
        <v>5000</v>
      </c>
      <c r="T438" s="35">
        <v>10000</v>
      </c>
      <c r="U438" s="324">
        <v>0</v>
      </c>
      <c r="V438" s="324">
        <v>0</v>
      </c>
      <c r="W438" s="209" t="s">
        <v>940</v>
      </c>
      <c r="X438" s="330" t="s">
        <v>16</v>
      </c>
      <c r="Y438" s="200" t="s">
        <v>27</v>
      </c>
      <c r="Z438" s="331" t="s">
        <v>838</v>
      </c>
      <c r="AA438" s="200" t="s">
        <v>838</v>
      </c>
    </row>
    <row r="439" spans="1:27" s="710" customFormat="1" ht="25.5" x14ac:dyDescent="0.25">
      <c r="A439" s="386" t="s">
        <v>529</v>
      </c>
      <c r="B439" s="485" t="s">
        <v>679</v>
      </c>
      <c r="C439" s="387">
        <v>2018</v>
      </c>
      <c r="D439" s="80" t="s">
        <v>816</v>
      </c>
      <c r="E439" s="387" t="s">
        <v>530</v>
      </c>
      <c r="F439" s="387" t="s">
        <v>530</v>
      </c>
      <c r="G439" s="169" t="s">
        <v>680</v>
      </c>
      <c r="H439" s="384">
        <v>350</v>
      </c>
      <c r="I439" s="592">
        <v>0</v>
      </c>
      <c r="J439" s="22">
        <v>350</v>
      </c>
      <c r="K439" s="711">
        <v>0</v>
      </c>
      <c r="L439" s="712">
        <v>350</v>
      </c>
      <c r="M439" s="480">
        <v>0</v>
      </c>
      <c r="N439" s="481">
        <f t="shared" si="28"/>
        <v>350</v>
      </c>
      <c r="O439" s="611">
        <v>0</v>
      </c>
      <c r="P439" s="380">
        <v>0</v>
      </c>
      <c r="Q439" s="113">
        <v>0</v>
      </c>
      <c r="R439" s="454">
        <v>0</v>
      </c>
      <c r="S439" s="112">
        <v>0</v>
      </c>
      <c r="T439" s="113">
        <v>0</v>
      </c>
      <c r="U439" s="112">
        <v>0</v>
      </c>
      <c r="V439" s="483">
        <v>0</v>
      </c>
      <c r="W439" s="387" t="s">
        <v>784</v>
      </c>
      <c r="X439" s="387" t="s">
        <v>877</v>
      </c>
      <c r="Y439" s="201" t="s">
        <v>329</v>
      </c>
      <c r="Z439" s="410" t="s">
        <v>839</v>
      </c>
      <c r="AA439" s="201" t="s">
        <v>839</v>
      </c>
    </row>
    <row r="440" spans="1:27" s="710" customFormat="1" ht="25.5" x14ac:dyDescent="0.25">
      <c r="A440" s="386" t="s">
        <v>531</v>
      </c>
      <c r="B440" s="663" t="s">
        <v>681</v>
      </c>
      <c r="C440" s="664">
        <v>2018</v>
      </c>
      <c r="D440" s="80" t="s">
        <v>816</v>
      </c>
      <c r="E440" s="664" t="s">
        <v>530</v>
      </c>
      <c r="F440" s="387" t="s">
        <v>530</v>
      </c>
      <c r="G440" s="169" t="s">
        <v>532</v>
      </c>
      <c r="H440" s="384">
        <v>450</v>
      </c>
      <c r="I440" s="592">
        <v>350</v>
      </c>
      <c r="J440" s="22">
        <v>99.805000000000007</v>
      </c>
      <c r="K440" s="711">
        <v>0.19500000000000001</v>
      </c>
      <c r="L440" s="712">
        <v>100</v>
      </c>
      <c r="M440" s="480">
        <v>0</v>
      </c>
      <c r="N440" s="481">
        <f t="shared" si="28"/>
        <v>100</v>
      </c>
      <c r="O440" s="611">
        <v>0</v>
      </c>
      <c r="P440" s="380">
        <v>0</v>
      </c>
      <c r="Q440" s="113">
        <v>0</v>
      </c>
      <c r="R440" s="454">
        <v>0</v>
      </c>
      <c r="S440" s="112">
        <v>0</v>
      </c>
      <c r="T440" s="113">
        <v>0</v>
      </c>
      <c r="U440" s="112">
        <v>0</v>
      </c>
      <c r="V440" s="483">
        <v>0</v>
      </c>
      <c r="W440" s="387" t="s">
        <v>784</v>
      </c>
      <c r="X440" s="387" t="s">
        <v>877</v>
      </c>
      <c r="Y440" s="201" t="s">
        <v>329</v>
      </c>
      <c r="Z440" s="410" t="s">
        <v>839</v>
      </c>
      <c r="AA440" s="201" t="s">
        <v>839</v>
      </c>
    </row>
    <row r="441" spans="1:27" ht="33.75" customHeight="1" x14ac:dyDescent="0.25">
      <c r="A441" s="326" t="s">
        <v>533</v>
      </c>
      <c r="B441" s="332" t="s">
        <v>682</v>
      </c>
      <c r="C441" s="330">
        <v>2018</v>
      </c>
      <c r="D441" s="4" t="s">
        <v>816</v>
      </c>
      <c r="E441" s="333" t="s">
        <v>488</v>
      </c>
      <c r="F441" s="322" t="s">
        <v>488</v>
      </c>
      <c r="G441" s="1119" t="s">
        <v>534</v>
      </c>
      <c r="H441" s="323">
        <v>7000</v>
      </c>
      <c r="I441" s="1903">
        <v>0</v>
      </c>
      <c r="J441" s="17">
        <v>0</v>
      </c>
      <c r="K441" s="300">
        <v>0</v>
      </c>
      <c r="L441" s="308">
        <v>0</v>
      </c>
      <c r="M441" s="328">
        <v>0</v>
      </c>
      <c r="N441" s="318">
        <f t="shared" si="28"/>
        <v>0</v>
      </c>
      <c r="O441" s="608">
        <v>0</v>
      </c>
      <c r="P441" s="35">
        <v>0</v>
      </c>
      <c r="Q441" s="35">
        <v>0</v>
      </c>
      <c r="R441" s="793">
        <v>0</v>
      </c>
      <c r="S441" s="324">
        <v>0</v>
      </c>
      <c r="T441" s="35">
        <v>1137</v>
      </c>
      <c r="U441" s="324">
        <v>5863</v>
      </c>
      <c r="V441" s="324">
        <v>0</v>
      </c>
      <c r="W441" s="209" t="s">
        <v>1465</v>
      </c>
      <c r="X441" s="330" t="s">
        <v>22</v>
      </c>
      <c r="Y441" s="200" t="s">
        <v>731</v>
      </c>
      <c r="Z441" s="331" t="s">
        <v>838</v>
      </c>
      <c r="AA441" s="200" t="s">
        <v>838</v>
      </c>
    </row>
    <row r="442" spans="1:27" ht="57.75" customHeight="1" x14ac:dyDescent="0.25">
      <c r="A442" s="1173" t="s">
        <v>535</v>
      </c>
      <c r="B442" s="1739" t="s">
        <v>683</v>
      </c>
      <c r="C442" s="1174">
        <v>2018</v>
      </c>
      <c r="D442" s="1044" t="s">
        <v>816</v>
      </c>
      <c r="E442" s="1740" t="s">
        <v>14</v>
      </c>
      <c r="F442" s="1741" t="s">
        <v>14</v>
      </c>
      <c r="G442" s="1742" t="s">
        <v>1466</v>
      </c>
      <c r="H442" s="1743">
        <v>5000</v>
      </c>
      <c r="I442" s="1905">
        <v>0</v>
      </c>
      <c r="J442" s="813">
        <v>0</v>
      </c>
      <c r="K442" s="1325">
        <v>0</v>
      </c>
      <c r="L442" s="1246">
        <v>5000</v>
      </c>
      <c r="M442" s="1385">
        <v>-5000</v>
      </c>
      <c r="N442" s="1746">
        <f t="shared" si="28"/>
        <v>0</v>
      </c>
      <c r="O442" s="1747">
        <v>0</v>
      </c>
      <c r="P442" s="1748">
        <v>0</v>
      </c>
      <c r="Q442" s="1246">
        <v>0</v>
      </c>
      <c r="R442" s="1364">
        <v>0</v>
      </c>
      <c r="S442" s="1245">
        <v>5000</v>
      </c>
      <c r="T442" s="1246">
        <v>5000</v>
      </c>
      <c r="U442" s="1245">
        <v>0</v>
      </c>
      <c r="V442" s="1749">
        <v>0</v>
      </c>
      <c r="W442" s="1044" t="s">
        <v>1588</v>
      </c>
      <c r="X442" s="1750" t="s">
        <v>22</v>
      </c>
      <c r="Y442" s="1317" t="s">
        <v>27</v>
      </c>
      <c r="Z442" s="1672" t="s">
        <v>838</v>
      </c>
      <c r="AA442" s="1317" t="s">
        <v>838</v>
      </c>
    </row>
    <row r="443" spans="1:27" s="710" customFormat="1" ht="25.5" x14ac:dyDescent="0.25">
      <c r="A443" s="386" t="s">
        <v>536</v>
      </c>
      <c r="B443" s="485" t="s">
        <v>684</v>
      </c>
      <c r="C443" s="387">
        <v>2018</v>
      </c>
      <c r="D443" s="80" t="s">
        <v>264</v>
      </c>
      <c r="E443" s="388" t="s">
        <v>979</v>
      </c>
      <c r="F443" s="387" t="s">
        <v>979</v>
      </c>
      <c r="G443" s="169" t="s">
        <v>537</v>
      </c>
      <c r="H443" s="384">
        <v>110</v>
      </c>
      <c r="I443" s="592">
        <v>0</v>
      </c>
      <c r="J443" s="22">
        <v>110.1815</v>
      </c>
      <c r="K443" s="711">
        <v>0</v>
      </c>
      <c r="L443" s="712">
        <v>110</v>
      </c>
      <c r="M443" s="480">
        <v>0</v>
      </c>
      <c r="N443" s="486">
        <f t="shared" si="28"/>
        <v>110</v>
      </c>
      <c r="O443" s="611">
        <v>0</v>
      </c>
      <c r="P443" s="380">
        <v>0</v>
      </c>
      <c r="Q443" s="113">
        <v>0</v>
      </c>
      <c r="R443" s="454">
        <v>0</v>
      </c>
      <c r="S443" s="112">
        <v>0</v>
      </c>
      <c r="T443" s="113">
        <v>0</v>
      </c>
      <c r="U443" s="112">
        <v>0</v>
      </c>
      <c r="V443" s="112">
        <v>0</v>
      </c>
      <c r="W443" s="484" t="s">
        <v>784</v>
      </c>
      <c r="X443" s="387" t="s">
        <v>877</v>
      </c>
      <c r="Y443" s="201" t="s">
        <v>658</v>
      </c>
      <c r="Z443" s="410" t="s">
        <v>839</v>
      </c>
      <c r="AA443" s="201" t="s">
        <v>839</v>
      </c>
    </row>
    <row r="444" spans="1:27" s="703" customFormat="1" ht="25.5" x14ac:dyDescent="0.25">
      <c r="A444" s="386" t="s">
        <v>539</v>
      </c>
      <c r="B444" s="476" t="s">
        <v>685</v>
      </c>
      <c r="C444" s="477">
        <v>2018</v>
      </c>
      <c r="D444" s="80" t="s">
        <v>264</v>
      </c>
      <c r="E444" s="388" t="s">
        <v>980</v>
      </c>
      <c r="F444" s="388" t="s">
        <v>980</v>
      </c>
      <c r="G444" s="169" t="s">
        <v>540</v>
      </c>
      <c r="H444" s="384">
        <v>1950.335</v>
      </c>
      <c r="I444" s="592">
        <v>0</v>
      </c>
      <c r="J444" s="22">
        <v>1950.335</v>
      </c>
      <c r="K444" s="711">
        <v>0</v>
      </c>
      <c r="L444" s="712">
        <v>1950.335</v>
      </c>
      <c r="M444" s="480">
        <v>0</v>
      </c>
      <c r="N444" s="481">
        <f t="shared" si="28"/>
        <v>1950.335</v>
      </c>
      <c r="O444" s="612">
        <v>0</v>
      </c>
      <c r="P444" s="380">
        <v>0</v>
      </c>
      <c r="Q444" s="113">
        <v>0</v>
      </c>
      <c r="R444" s="454">
        <v>0</v>
      </c>
      <c r="S444" s="112">
        <v>0</v>
      </c>
      <c r="T444" s="113">
        <v>0</v>
      </c>
      <c r="U444" s="112">
        <v>0</v>
      </c>
      <c r="V444" s="483">
        <v>0</v>
      </c>
      <c r="W444" s="477" t="s">
        <v>784</v>
      </c>
      <c r="X444" s="387" t="s">
        <v>877</v>
      </c>
      <c r="Y444" s="201" t="s">
        <v>756</v>
      </c>
      <c r="Z444" s="769" t="s">
        <v>839</v>
      </c>
      <c r="AA444" s="508" t="s">
        <v>839</v>
      </c>
    </row>
    <row r="445" spans="1:27" s="717" customFormat="1" ht="25.5" x14ac:dyDescent="0.25">
      <c r="A445" s="1535" t="s">
        <v>541</v>
      </c>
      <c r="B445" s="1536" t="s">
        <v>686</v>
      </c>
      <c r="C445" s="1537">
        <v>2018</v>
      </c>
      <c r="D445" s="1355" t="s">
        <v>264</v>
      </c>
      <c r="E445" s="1538" t="s">
        <v>542</v>
      </c>
      <c r="F445" s="1538" t="s">
        <v>542</v>
      </c>
      <c r="G445" s="1751" t="s">
        <v>1467</v>
      </c>
      <c r="H445" s="1582">
        <v>1380</v>
      </c>
      <c r="I445" s="661">
        <v>0</v>
      </c>
      <c r="J445" s="1409">
        <v>0</v>
      </c>
      <c r="K445" s="1491">
        <v>1380</v>
      </c>
      <c r="L445" s="1492">
        <v>0</v>
      </c>
      <c r="M445" s="1337">
        <v>1380</v>
      </c>
      <c r="N445" s="1752">
        <f t="shared" si="28"/>
        <v>1380</v>
      </c>
      <c r="O445" s="1586">
        <v>0</v>
      </c>
      <c r="P445" s="1753">
        <v>0</v>
      </c>
      <c r="Q445" s="1492">
        <v>0</v>
      </c>
      <c r="R445" s="1583">
        <v>0</v>
      </c>
      <c r="S445" s="1587">
        <v>0</v>
      </c>
      <c r="T445" s="1492">
        <v>0</v>
      </c>
      <c r="U445" s="1587">
        <v>0</v>
      </c>
      <c r="V445" s="1354">
        <v>0</v>
      </c>
      <c r="W445" s="683" t="s">
        <v>1546</v>
      </c>
      <c r="X445" s="1579" t="s">
        <v>22</v>
      </c>
      <c r="Y445" s="1500" t="s">
        <v>27</v>
      </c>
      <c r="Z445" s="1589" t="s">
        <v>838</v>
      </c>
      <c r="AA445" s="1500" t="s">
        <v>838</v>
      </c>
    </row>
    <row r="446" spans="1:27" s="686" customFormat="1" ht="25.5" x14ac:dyDescent="0.25">
      <c r="A446" s="1527" t="s">
        <v>544</v>
      </c>
      <c r="B446" s="1780" t="s">
        <v>687</v>
      </c>
      <c r="C446" s="1512">
        <v>2018</v>
      </c>
      <c r="D446" s="1485" t="s">
        <v>264</v>
      </c>
      <c r="E446" s="1540" t="s">
        <v>545</v>
      </c>
      <c r="F446" s="1540" t="s">
        <v>545</v>
      </c>
      <c r="G446" s="1541" t="s">
        <v>232</v>
      </c>
      <c r="H446" s="1529">
        <v>2000</v>
      </c>
      <c r="I446" s="1534">
        <v>0</v>
      </c>
      <c r="J446" s="691">
        <v>1917.7895699999999</v>
      </c>
      <c r="K446" s="1942">
        <v>82.210430000000002</v>
      </c>
      <c r="L446" s="1786">
        <v>2200</v>
      </c>
      <c r="M446" s="1531">
        <v>-200</v>
      </c>
      <c r="N446" s="1517">
        <f t="shared" si="28"/>
        <v>2000</v>
      </c>
      <c r="O446" s="1544">
        <v>0</v>
      </c>
      <c r="P446" s="1519">
        <v>0</v>
      </c>
      <c r="Q446" s="1379">
        <v>0</v>
      </c>
      <c r="R446" s="1378">
        <v>0</v>
      </c>
      <c r="S446" s="1377">
        <v>0</v>
      </c>
      <c r="T446" s="1379">
        <v>0</v>
      </c>
      <c r="U446" s="1377">
        <v>0</v>
      </c>
      <c r="V446" s="1522">
        <v>0</v>
      </c>
      <c r="W446" s="1532" t="s">
        <v>1596</v>
      </c>
      <c r="X446" s="1532" t="s">
        <v>48</v>
      </c>
      <c r="Y446" s="942" t="s">
        <v>571</v>
      </c>
      <c r="Z446" s="1781" t="s">
        <v>839</v>
      </c>
      <c r="AA446" s="1782" t="s">
        <v>839</v>
      </c>
    </row>
    <row r="447" spans="1:27" s="710" customFormat="1" ht="26.25" thickBot="1" x14ac:dyDescent="0.3">
      <c r="A447" s="665" t="s">
        <v>546</v>
      </c>
      <c r="B447" s="666" t="s">
        <v>688</v>
      </c>
      <c r="C447" s="667">
        <v>2018</v>
      </c>
      <c r="D447" s="194" t="s">
        <v>264</v>
      </c>
      <c r="E447" s="668" t="s">
        <v>547</v>
      </c>
      <c r="F447" s="668" t="s">
        <v>547</v>
      </c>
      <c r="G447" s="204" t="s">
        <v>548</v>
      </c>
      <c r="H447" s="669">
        <v>7757.85</v>
      </c>
      <c r="I447" s="732">
        <v>0</v>
      </c>
      <c r="J447" s="205">
        <v>7757.60239</v>
      </c>
      <c r="K447" s="1784">
        <v>0</v>
      </c>
      <c r="L447" s="1787">
        <v>7757.85</v>
      </c>
      <c r="M447" s="671">
        <v>0</v>
      </c>
      <c r="N447" s="672">
        <f t="shared" si="28"/>
        <v>7757.85</v>
      </c>
      <c r="O447" s="673">
        <v>0</v>
      </c>
      <c r="P447" s="674">
        <v>0</v>
      </c>
      <c r="Q447" s="674">
        <v>0</v>
      </c>
      <c r="R447" s="670">
        <v>0</v>
      </c>
      <c r="S447" s="675">
        <v>0</v>
      </c>
      <c r="T447" s="674">
        <v>0</v>
      </c>
      <c r="U447" s="675">
        <v>0</v>
      </c>
      <c r="V447" s="675">
        <v>0</v>
      </c>
      <c r="W447" s="667" t="s">
        <v>784</v>
      </c>
      <c r="X447" s="667" t="s">
        <v>877</v>
      </c>
      <c r="Y447" s="676" t="s">
        <v>659</v>
      </c>
      <c r="Z447" s="677" t="s">
        <v>839</v>
      </c>
      <c r="AA447" s="676" t="s">
        <v>839</v>
      </c>
    </row>
    <row r="448" spans="1:27" ht="36.75" customHeight="1" x14ac:dyDescent="0.25">
      <c r="A448" s="1754" t="s">
        <v>733</v>
      </c>
      <c r="B448" s="1173" t="s">
        <v>802</v>
      </c>
      <c r="C448" s="1750">
        <v>2019</v>
      </c>
      <c r="D448" s="657" t="s">
        <v>811</v>
      </c>
      <c r="E448" s="1755" t="s">
        <v>504</v>
      </c>
      <c r="F448" s="1175" t="s">
        <v>504</v>
      </c>
      <c r="G448" s="1756" t="s">
        <v>689</v>
      </c>
      <c r="H448" s="1744">
        <v>6000</v>
      </c>
      <c r="I448" s="1906">
        <v>0</v>
      </c>
      <c r="J448" s="812">
        <v>0</v>
      </c>
      <c r="K448" s="1349">
        <v>4000</v>
      </c>
      <c r="L448" s="1758">
        <v>6000</v>
      </c>
      <c r="M448" s="1385">
        <v>-2000</v>
      </c>
      <c r="N448" s="1385">
        <f t="shared" si="28"/>
        <v>4000</v>
      </c>
      <c r="O448" s="1759">
        <v>0</v>
      </c>
      <c r="P448" s="1246">
        <v>0</v>
      </c>
      <c r="Q448" s="1246">
        <v>0</v>
      </c>
      <c r="R448" s="1364">
        <v>2000</v>
      </c>
      <c r="S448" s="1745">
        <v>0</v>
      </c>
      <c r="T448" s="1246">
        <v>2000</v>
      </c>
      <c r="U448" s="1760">
        <v>0</v>
      </c>
      <c r="V448" s="1761">
        <v>0</v>
      </c>
      <c r="W448" s="657" t="s">
        <v>1589</v>
      </c>
      <c r="X448" s="1750" t="s">
        <v>16</v>
      </c>
      <c r="Y448" s="1762" t="s">
        <v>27</v>
      </c>
      <c r="Z448" s="1672" t="s">
        <v>838</v>
      </c>
      <c r="AA448" s="1317" t="s">
        <v>838</v>
      </c>
    </row>
    <row r="449" spans="1:27" ht="25.5" x14ac:dyDescent="0.25">
      <c r="A449" s="320" t="s">
        <v>734</v>
      </c>
      <c r="B449" s="326" t="s">
        <v>802</v>
      </c>
      <c r="C449" s="330">
        <v>2019</v>
      </c>
      <c r="D449" s="5" t="s">
        <v>811</v>
      </c>
      <c r="E449" s="338" t="s">
        <v>979</v>
      </c>
      <c r="F449" s="333" t="s">
        <v>979</v>
      </c>
      <c r="G449" s="1121" t="s">
        <v>690</v>
      </c>
      <c r="H449" s="327">
        <v>2200</v>
      </c>
      <c r="I449" s="1907">
        <v>0</v>
      </c>
      <c r="J449" s="17">
        <v>0</v>
      </c>
      <c r="K449" s="435">
        <v>0</v>
      </c>
      <c r="L449" s="414">
        <v>0</v>
      </c>
      <c r="M449" s="328">
        <v>0</v>
      </c>
      <c r="N449" s="339">
        <f t="shared" si="28"/>
        <v>0</v>
      </c>
      <c r="O449" s="609">
        <v>0</v>
      </c>
      <c r="P449" s="33">
        <v>0</v>
      </c>
      <c r="Q449" s="33">
        <v>0</v>
      </c>
      <c r="R449" s="447">
        <v>0</v>
      </c>
      <c r="S449" s="334">
        <v>2200</v>
      </c>
      <c r="T449" s="33">
        <v>2200</v>
      </c>
      <c r="U449" s="406">
        <v>0</v>
      </c>
      <c r="V449" s="427">
        <v>0</v>
      </c>
      <c r="W449" s="5" t="s">
        <v>1179</v>
      </c>
      <c r="X449" s="330" t="s">
        <v>22</v>
      </c>
      <c r="Y449" s="340" t="s">
        <v>312</v>
      </c>
      <c r="Z449" s="331" t="s">
        <v>838</v>
      </c>
      <c r="AA449" s="200" t="s">
        <v>838</v>
      </c>
    </row>
    <row r="450" spans="1:27" s="717" customFormat="1" ht="25.5" x14ac:dyDescent="0.25">
      <c r="A450" s="1133" t="s">
        <v>735</v>
      </c>
      <c r="B450" s="1134" t="s">
        <v>802</v>
      </c>
      <c r="C450" s="1135">
        <v>2019</v>
      </c>
      <c r="D450" s="518" t="s">
        <v>811</v>
      </c>
      <c r="E450" s="1136" t="s">
        <v>979</v>
      </c>
      <c r="F450" s="1137" t="s">
        <v>979</v>
      </c>
      <c r="G450" s="1138" t="s">
        <v>691</v>
      </c>
      <c r="H450" s="490">
        <v>3240</v>
      </c>
      <c r="I450" s="1908">
        <v>0</v>
      </c>
      <c r="J450" s="521">
        <v>164.56</v>
      </c>
      <c r="K450" s="1139">
        <f>3240-164.56</f>
        <v>3075.44</v>
      </c>
      <c r="L450" s="1140">
        <v>2500</v>
      </c>
      <c r="M450" s="930">
        <v>740</v>
      </c>
      <c r="N450" s="1141">
        <f t="shared" si="28"/>
        <v>3240</v>
      </c>
      <c r="O450" s="1142">
        <v>0</v>
      </c>
      <c r="P450" s="1143">
        <v>0</v>
      </c>
      <c r="Q450" s="1143">
        <v>0</v>
      </c>
      <c r="R450" s="869">
        <v>0</v>
      </c>
      <c r="S450" s="971">
        <v>0</v>
      </c>
      <c r="T450" s="1143">
        <v>0</v>
      </c>
      <c r="U450" s="1144">
        <v>0</v>
      </c>
      <c r="V450" s="1145">
        <v>0</v>
      </c>
      <c r="W450" s="518" t="s">
        <v>1602</v>
      </c>
      <c r="X450" s="1135" t="s">
        <v>48</v>
      </c>
      <c r="Y450" s="1494" t="s">
        <v>571</v>
      </c>
      <c r="Z450" s="1495" t="s">
        <v>839</v>
      </c>
      <c r="AA450" s="1312" t="s">
        <v>839</v>
      </c>
    </row>
    <row r="451" spans="1:27" ht="25.5" x14ac:dyDescent="0.25">
      <c r="A451" s="320" t="s">
        <v>736</v>
      </c>
      <c r="B451" s="326" t="s">
        <v>802</v>
      </c>
      <c r="C451" s="330">
        <v>2019</v>
      </c>
      <c r="D451" s="5" t="s">
        <v>811</v>
      </c>
      <c r="E451" s="338" t="s">
        <v>987</v>
      </c>
      <c r="F451" s="333" t="s">
        <v>987</v>
      </c>
      <c r="G451" s="1121" t="s">
        <v>692</v>
      </c>
      <c r="H451" s="327">
        <v>1000</v>
      </c>
      <c r="I451" s="1907">
        <v>0</v>
      </c>
      <c r="J451" s="17">
        <v>0</v>
      </c>
      <c r="K451" s="435">
        <v>1000</v>
      </c>
      <c r="L451" s="414">
        <v>1000</v>
      </c>
      <c r="M451" s="328">
        <v>0</v>
      </c>
      <c r="N451" s="339">
        <f t="shared" si="28"/>
        <v>1000</v>
      </c>
      <c r="O451" s="609">
        <v>0</v>
      </c>
      <c r="P451" s="33">
        <v>0</v>
      </c>
      <c r="Q451" s="33">
        <v>0</v>
      </c>
      <c r="R451" s="447">
        <v>0</v>
      </c>
      <c r="S451" s="334">
        <v>0</v>
      </c>
      <c r="T451" s="33">
        <v>0</v>
      </c>
      <c r="U451" s="406">
        <v>0</v>
      </c>
      <c r="V451" s="427">
        <v>0</v>
      </c>
      <c r="W451" s="330" t="s">
        <v>784</v>
      </c>
      <c r="X451" s="330" t="s">
        <v>16</v>
      </c>
      <c r="Y451" s="340" t="s">
        <v>27</v>
      </c>
      <c r="Z451" s="331" t="s">
        <v>838</v>
      </c>
      <c r="AA451" s="200" t="s">
        <v>838</v>
      </c>
    </row>
    <row r="452" spans="1:27" s="777" customFormat="1" ht="25.5" x14ac:dyDescent="0.25">
      <c r="A452" s="1133" t="s">
        <v>737</v>
      </c>
      <c r="B452" s="1134" t="s">
        <v>802</v>
      </c>
      <c r="C452" s="1135">
        <v>2019</v>
      </c>
      <c r="D452" s="518" t="s">
        <v>811</v>
      </c>
      <c r="E452" s="1136" t="s">
        <v>478</v>
      </c>
      <c r="F452" s="1137" t="s">
        <v>478</v>
      </c>
      <c r="G452" s="1138" t="s">
        <v>693</v>
      </c>
      <c r="H452" s="490">
        <v>665.49900000000002</v>
      </c>
      <c r="I452" s="1908">
        <v>0</v>
      </c>
      <c r="J452" s="521">
        <v>0</v>
      </c>
      <c r="K452" s="1139">
        <v>665.49900000000002</v>
      </c>
      <c r="L452" s="1140">
        <v>500</v>
      </c>
      <c r="M452" s="930">
        <v>165.499</v>
      </c>
      <c r="N452" s="1141">
        <f t="shared" si="28"/>
        <v>665.49900000000002</v>
      </c>
      <c r="O452" s="1142">
        <v>0</v>
      </c>
      <c r="P452" s="1143">
        <v>0</v>
      </c>
      <c r="Q452" s="1143">
        <v>0</v>
      </c>
      <c r="R452" s="869">
        <v>0</v>
      </c>
      <c r="S452" s="971">
        <v>0</v>
      </c>
      <c r="T452" s="1143">
        <v>0</v>
      </c>
      <c r="U452" s="1144">
        <v>0</v>
      </c>
      <c r="V452" s="1145">
        <v>0</v>
      </c>
      <c r="W452" s="518" t="s">
        <v>1603</v>
      </c>
      <c r="X452" s="330" t="s">
        <v>48</v>
      </c>
      <c r="Y452" s="340" t="s">
        <v>571</v>
      </c>
      <c r="Z452" s="331" t="s">
        <v>839</v>
      </c>
      <c r="AA452" s="200" t="s">
        <v>839</v>
      </c>
    </row>
    <row r="453" spans="1:27" s="851" customFormat="1" ht="36" customHeight="1" x14ac:dyDescent="0.25">
      <c r="A453" s="1510" t="s">
        <v>738</v>
      </c>
      <c r="B453" s="1527" t="s">
        <v>802</v>
      </c>
      <c r="C453" s="1532">
        <v>2019</v>
      </c>
      <c r="D453" s="638" t="s">
        <v>811</v>
      </c>
      <c r="E453" s="1539" t="s">
        <v>478</v>
      </c>
      <c r="F453" s="1540" t="s">
        <v>478</v>
      </c>
      <c r="G453" s="1541" t="s">
        <v>694</v>
      </c>
      <c r="H453" s="1529">
        <v>11409.352000000001</v>
      </c>
      <c r="I453" s="1909">
        <v>0</v>
      </c>
      <c r="J453" s="691">
        <v>0</v>
      </c>
      <c r="K453" s="1530">
        <v>7000</v>
      </c>
      <c r="L453" s="1542">
        <v>7000</v>
      </c>
      <c r="M453" s="1531">
        <v>0</v>
      </c>
      <c r="N453" s="1543">
        <f t="shared" si="28"/>
        <v>7000</v>
      </c>
      <c r="O453" s="1544">
        <v>0</v>
      </c>
      <c r="P453" s="1379">
        <v>0</v>
      </c>
      <c r="Q453" s="1379">
        <v>0</v>
      </c>
      <c r="R453" s="1378">
        <v>4409.3519999999999</v>
      </c>
      <c r="S453" s="1545">
        <v>0</v>
      </c>
      <c r="T453" s="1379">
        <v>4409.3519999999999</v>
      </c>
      <c r="U453" s="1546">
        <v>0</v>
      </c>
      <c r="V453" s="1547">
        <v>0</v>
      </c>
      <c r="W453" s="1532" t="s">
        <v>1547</v>
      </c>
      <c r="X453" s="1532" t="s">
        <v>48</v>
      </c>
      <c r="Y453" s="1548" t="s">
        <v>865</v>
      </c>
      <c r="Z453" s="1533" t="s">
        <v>839</v>
      </c>
      <c r="AA453" s="942" t="s">
        <v>839</v>
      </c>
    </row>
    <row r="454" spans="1:27" ht="25.5" x14ac:dyDescent="0.25">
      <c r="A454" s="320" t="s">
        <v>739</v>
      </c>
      <c r="B454" s="326" t="s">
        <v>802</v>
      </c>
      <c r="C454" s="330">
        <v>2019</v>
      </c>
      <c r="D454" s="5" t="s">
        <v>811</v>
      </c>
      <c r="E454" s="338" t="s">
        <v>480</v>
      </c>
      <c r="F454" s="333" t="s">
        <v>480</v>
      </c>
      <c r="G454" s="1121" t="s">
        <v>695</v>
      </c>
      <c r="H454" s="327">
        <v>8400</v>
      </c>
      <c r="I454" s="1907">
        <v>0</v>
      </c>
      <c r="J454" s="17">
        <v>0</v>
      </c>
      <c r="K454" s="435">
        <v>0</v>
      </c>
      <c r="L454" s="414">
        <v>0</v>
      </c>
      <c r="M454" s="328">
        <v>0</v>
      </c>
      <c r="N454" s="339">
        <f t="shared" si="28"/>
        <v>0</v>
      </c>
      <c r="O454" s="609">
        <v>0</v>
      </c>
      <c r="P454" s="33">
        <v>0</v>
      </c>
      <c r="Q454" s="33">
        <v>0</v>
      </c>
      <c r="R454" s="447">
        <v>0</v>
      </c>
      <c r="S454" s="334">
        <v>4200</v>
      </c>
      <c r="T454" s="33">
        <v>8400</v>
      </c>
      <c r="U454" s="406">
        <v>0</v>
      </c>
      <c r="V454" s="427">
        <v>0</v>
      </c>
      <c r="W454" s="330" t="s">
        <v>784</v>
      </c>
      <c r="X454" s="330" t="s">
        <v>22</v>
      </c>
      <c r="Y454" s="340" t="s">
        <v>312</v>
      </c>
      <c r="Z454" s="331" t="s">
        <v>838</v>
      </c>
      <c r="AA454" s="200" t="s">
        <v>838</v>
      </c>
    </row>
    <row r="455" spans="1:27" ht="25.5" x14ac:dyDescent="0.25">
      <c r="A455" s="320" t="s">
        <v>740</v>
      </c>
      <c r="B455" s="326" t="s">
        <v>802</v>
      </c>
      <c r="C455" s="330">
        <v>2019</v>
      </c>
      <c r="D455" s="5" t="s">
        <v>811</v>
      </c>
      <c r="E455" s="338" t="s">
        <v>543</v>
      </c>
      <c r="F455" s="333" t="s">
        <v>543</v>
      </c>
      <c r="G455" s="1121" t="s">
        <v>696</v>
      </c>
      <c r="H455" s="327">
        <v>4000</v>
      </c>
      <c r="I455" s="1907">
        <v>0</v>
      </c>
      <c r="J455" s="17">
        <v>0</v>
      </c>
      <c r="K455" s="435">
        <v>0</v>
      </c>
      <c r="L455" s="414">
        <v>0</v>
      </c>
      <c r="M455" s="328">
        <v>0</v>
      </c>
      <c r="N455" s="339">
        <f t="shared" si="28"/>
        <v>0</v>
      </c>
      <c r="O455" s="609">
        <v>0</v>
      </c>
      <c r="P455" s="33">
        <v>0</v>
      </c>
      <c r="Q455" s="33">
        <v>0</v>
      </c>
      <c r="R455" s="447">
        <v>0</v>
      </c>
      <c r="S455" s="334">
        <v>0</v>
      </c>
      <c r="T455" s="33">
        <v>4000</v>
      </c>
      <c r="U455" s="406">
        <v>0</v>
      </c>
      <c r="V455" s="427">
        <v>0</v>
      </c>
      <c r="W455" s="330" t="s">
        <v>784</v>
      </c>
      <c r="X455" s="330" t="s">
        <v>22</v>
      </c>
      <c r="Y455" s="340" t="s">
        <v>312</v>
      </c>
      <c r="Z455" s="331" t="s">
        <v>838</v>
      </c>
      <c r="AA455" s="200" t="s">
        <v>838</v>
      </c>
    </row>
    <row r="456" spans="1:27" ht="25.5" x14ac:dyDescent="0.25">
      <c r="A456" s="320" t="s">
        <v>741</v>
      </c>
      <c r="B456" s="326" t="s">
        <v>802</v>
      </c>
      <c r="C456" s="330">
        <v>2019</v>
      </c>
      <c r="D456" s="5" t="s">
        <v>811</v>
      </c>
      <c r="E456" s="338" t="s">
        <v>528</v>
      </c>
      <c r="F456" s="333" t="s">
        <v>528</v>
      </c>
      <c r="G456" s="1121" t="s">
        <v>697</v>
      </c>
      <c r="H456" s="327">
        <v>950</v>
      </c>
      <c r="I456" s="1907">
        <v>0</v>
      </c>
      <c r="J456" s="17">
        <v>0</v>
      </c>
      <c r="K456" s="435">
        <v>0</v>
      </c>
      <c r="L456" s="414">
        <v>0</v>
      </c>
      <c r="M456" s="328">
        <v>0</v>
      </c>
      <c r="N456" s="339">
        <f t="shared" si="28"/>
        <v>0</v>
      </c>
      <c r="O456" s="609">
        <v>0</v>
      </c>
      <c r="P456" s="33">
        <v>0</v>
      </c>
      <c r="Q456" s="33">
        <v>0</v>
      </c>
      <c r="R456" s="447">
        <v>0</v>
      </c>
      <c r="S456" s="334">
        <v>0</v>
      </c>
      <c r="T456" s="33">
        <v>950</v>
      </c>
      <c r="U456" s="406">
        <v>0</v>
      </c>
      <c r="V456" s="427">
        <v>0</v>
      </c>
      <c r="W456" s="330" t="s">
        <v>784</v>
      </c>
      <c r="X456" s="330" t="s">
        <v>22</v>
      </c>
      <c r="Y456" s="340" t="s">
        <v>312</v>
      </c>
      <c r="Z456" s="331" t="s">
        <v>838</v>
      </c>
      <c r="AA456" s="200" t="s">
        <v>838</v>
      </c>
    </row>
    <row r="457" spans="1:27" ht="25.5" x14ac:dyDescent="0.25">
      <c r="A457" s="320" t="s">
        <v>742</v>
      </c>
      <c r="B457" s="326" t="s">
        <v>802</v>
      </c>
      <c r="C457" s="330">
        <v>2019</v>
      </c>
      <c r="D457" s="5" t="s">
        <v>811</v>
      </c>
      <c r="E457" s="338" t="s">
        <v>483</v>
      </c>
      <c r="F457" s="333" t="s">
        <v>483</v>
      </c>
      <c r="G457" s="1121" t="s">
        <v>698</v>
      </c>
      <c r="H457" s="327">
        <v>4200</v>
      </c>
      <c r="I457" s="1907">
        <v>0</v>
      </c>
      <c r="J457" s="17">
        <v>0</v>
      </c>
      <c r="K457" s="435">
        <v>2100</v>
      </c>
      <c r="L457" s="414">
        <v>2100</v>
      </c>
      <c r="M457" s="328">
        <v>0</v>
      </c>
      <c r="N457" s="339">
        <f t="shared" si="28"/>
        <v>2100</v>
      </c>
      <c r="O457" s="609">
        <v>0</v>
      </c>
      <c r="P457" s="33">
        <v>0</v>
      </c>
      <c r="Q457" s="33">
        <v>0</v>
      </c>
      <c r="R457" s="447">
        <v>2100</v>
      </c>
      <c r="S457" s="334">
        <v>0</v>
      </c>
      <c r="T457" s="33">
        <v>2100</v>
      </c>
      <c r="U457" s="406">
        <v>0</v>
      </c>
      <c r="V457" s="427">
        <v>0</v>
      </c>
      <c r="W457" s="330" t="s">
        <v>1179</v>
      </c>
      <c r="X457" s="330" t="s">
        <v>16</v>
      </c>
      <c r="Y457" s="340" t="s">
        <v>27</v>
      </c>
      <c r="Z457" s="331" t="s">
        <v>838</v>
      </c>
      <c r="AA457" s="200" t="s">
        <v>838</v>
      </c>
    </row>
    <row r="458" spans="1:27" s="686" customFormat="1" ht="39" customHeight="1" x14ac:dyDescent="0.25">
      <c r="A458" s="1510" t="s">
        <v>743</v>
      </c>
      <c r="B458" s="1527" t="s">
        <v>1626</v>
      </c>
      <c r="C458" s="1532">
        <v>2019</v>
      </c>
      <c r="D458" s="638" t="s">
        <v>811</v>
      </c>
      <c r="E458" s="1539" t="s">
        <v>545</v>
      </c>
      <c r="F458" s="1540" t="s">
        <v>545</v>
      </c>
      <c r="G458" s="1541" t="s">
        <v>699</v>
      </c>
      <c r="H458" s="1529">
        <v>1157.748</v>
      </c>
      <c r="I458" s="1909">
        <v>0</v>
      </c>
      <c r="J458" s="691">
        <v>130.68</v>
      </c>
      <c r="K458" s="1530">
        <f>1157.748-130.68</f>
        <v>1027.068</v>
      </c>
      <c r="L458" s="1542">
        <v>1850</v>
      </c>
      <c r="M458" s="1531">
        <v>-692.25199999999995</v>
      </c>
      <c r="N458" s="1543">
        <f t="shared" si="28"/>
        <v>1157.748</v>
      </c>
      <c r="O458" s="1544">
        <v>0</v>
      </c>
      <c r="P458" s="1379">
        <v>0</v>
      </c>
      <c r="Q458" s="1379">
        <v>0</v>
      </c>
      <c r="R458" s="1378">
        <v>0</v>
      </c>
      <c r="S458" s="1545">
        <v>0</v>
      </c>
      <c r="T458" s="1379">
        <v>0</v>
      </c>
      <c r="U458" s="1546">
        <v>0</v>
      </c>
      <c r="V458" s="1547">
        <v>0</v>
      </c>
      <c r="W458" s="1532" t="s">
        <v>1548</v>
      </c>
      <c r="X458" s="1532" t="s">
        <v>48</v>
      </c>
      <c r="Y458" s="1548" t="s">
        <v>571</v>
      </c>
      <c r="Z458" s="1533" t="s">
        <v>839</v>
      </c>
      <c r="AA458" s="942" t="s">
        <v>839</v>
      </c>
    </row>
    <row r="459" spans="1:27" s="686" customFormat="1" ht="25.5" x14ac:dyDescent="0.25">
      <c r="A459" s="1510" t="s">
        <v>744</v>
      </c>
      <c r="B459" s="1527" t="s">
        <v>802</v>
      </c>
      <c r="C459" s="1532">
        <v>2019</v>
      </c>
      <c r="D459" s="638" t="s">
        <v>811</v>
      </c>
      <c r="E459" s="1539" t="s">
        <v>545</v>
      </c>
      <c r="F459" s="1540" t="s">
        <v>545</v>
      </c>
      <c r="G459" s="1541" t="s">
        <v>700</v>
      </c>
      <c r="H459" s="1529">
        <v>399.72228999999999</v>
      </c>
      <c r="I459" s="1909">
        <v>0</v>
      </c>
      <c r="J459" s="691">
        <v>0</v>
      </c>
      <c r="K459" s="1530">
        <v>399.72228999999999</v>
      </c>
      <c r="L459" s="1542">
        <v>1000</v>
      </c>
      <c r="M459" s="1531">
        <v>-600.27770999999996</v>
      </c>
      <c r="N459" s="1543">
        <f t="shared" si="28"/>
        <v>399.72229000000004</v>
      </c>
      <c r="O459" s="1544">
        <v>0</v>
      </c>
      <c r="P459" s="1379">
        <v>0</v>
      </c>
      <c r="Q459" s="1379">
        <v>0</v>
      </c>
      <c r="R459" s="1378">
        <v>0</v>
      </c>
      <c r="S459" s="1545">
        <v>0</v>
      </c>
      <c r="T459" s="1379">
        <v>0</v>
      </c>
      <c r="U459" s="1546">
        <v>0</v>
      </c>
      <c r="V459" s="1547">
        <v>0</v>
      </c>
      <c r="W459" s="1532" t="s">
        <v>1549</v>
      </c>
      <c r="X459" s="1532" t="s">
        <v>48</v>
      </c>
      <c r="Y459" s="1548" t="s">
        <v>571</v>
      </c>
      <c r="Z459" s="1533" t="s">
        <v>839</v>
      </c>
      <c r="AA459" s="942" t="s">
        <v>839</v>
      </c>
    </row>
    <row r="460" spans="1:27" ht="25.5" x14ac:dyDescent="0.25">
      <c r="A460" s="320" t="s">
        <v>745</v>
      </c>
      <c r="B460" s="326" t="s">
        <v>802</v>
      </c>
      <c r="C460" s="330">
        <v>2019</v>
      </c>
      <c r="D460" s="5" t="s">
        <v>811</v>
      </c>
      <c r="E460" s="338" t="s">
        <v>988</v>
      </c>
      <c r="F460" s="333" t="s">
        <v>988</v>
      </c>
      <c r="G460" s="1121" t="s">
        <v>701</v>
      </c>
      <c r="H460" s="327">
        <v>5000</v>
      </c>
      <c r="I460" s="1907">
        <v>0</v>
      </c>
      <c r="J460" s="17">
        <v>0</v>
      </c>
      <c r="K460" s="435">
        <v>0</v>
      </c>
      <c r="L460" s="414">
        <v>0</v>
      </c>
      <c r="M460" s="328">
        <v>0</v>
      </c>
      <c r="N460" s="339">
        <f t="shared" si="28"/>
        <v>0</v>
      </c>
      <c r="O460" s="609">
        <v>0</v>
      </c>
      <c r="P460" s="33">
        <v>0</v>
      </c>
      <c r="Q460" s="33">
        <v>0</v>
      </c>
      <c r="R460" s="447">
        <v>0</v>
      </c>
      <c r="S460" s="334">
        <v>0</v>
      </c>
      <c r="T460" s="33">
        <v>0</v>
      </c>
      <c r="U460" s="406">
        <v>5000</v>
      </c>
      <c r="V460" s="427">
        <v>0</v>
      </c>
      <c r="W460" s="330" t="s">
        <v>784</v>
      </c>
      <c r="X460" s="330" t="s">
        <v>22</v>
      </c>
      <c r="Y460" s="340" t="s">
        <v>571</v>
      </c>
      <c r="Z460" s="331" t="s">
        <v>838</v>
      </c>
      <c r="AA460" s="200" t="s">
        <v>838</v>
      </c>
    </row>
    <row r="461" spans="1:27" s="686" customFormat="1" ht="25.5" x14ac:dyDescent="0.25">
      <c r="A461" s="1510" t="s">
        <v>746</v>
      </c>
      <c r="B461" s="1527" t="s">
        <v>802</v>
      </c>
      <c r="C461" s="1532">
        <v>2019</v>
      </c>
      <c r="D461" s="638" t="s">
        <v>811</v>
      </c>
      <c r="E461" s="1539" t="s">
        <v>488</v>
      </c>
      <c r="F461" s="1540" t="s">
        <v>488</v>
      </c>
      <c r="G461" s="1541" t="s">
        <v>702</v>
      </c>
      <c r="H461" s="1529">
        <v>839.875</v>
      </c>
      <c r="I461" s="1909">
        <v>0</v>
      </c>
      <c r="J461" s="691">
        <v>0</v>
      </c>
      <c r="K461" s="1530">
        <v>839.875</v>
      </c>
      <c r="L461" s="1542">
        <v>850</v>
      </c>
      <c r="M461" s="1531">
        <v>-10.125</v>
      </c>
      <c r="N461" s="1543">
        <f t="shared" si="28"/>
        <v>839.875</v>
      </c>
      <c r="O461" s="1544">
        <v>0</v>
      </c>
      <c r="P461" s="1379">
        <v>0</v>
      </c>
      <c r="Q461" s="1379">
        <v>0</v>
      </c>
      <c r="R461" s="1378">
        <v>0</v>
      </c>
      <c r="S461" s="1545">
        <v>0</v>
      </c>
      <c r="T461" s="1379">
        <v>0</v>
      </c>
      <c r="U461" s="1546">
        <v>0</v>
      </c>
      <c r="V461" s="1547">
        <v>0</v>
      </c>
      <c r="W461" s="1532" t="s">
        <v>1550</v>
      </c>
      <c r="X461" s="1532" t="s">
        <v>48</v>
      </c>
      <c r="Y461" s="1548" t="s">
        <v>571</v>
      </c>
      <c r="Z461" s="1533" t="s">
        <v>839</v>
      </c>
      <c r="AA461" s="942" t="s">
        <v>839</v>
      </c>
    </row>
    <row r="462" spans="1:27" ht="35.25" customHeight="1" x14ac:dyDescent="0.25">
      <c r="A462" s="320" t="s">
        <v>747</v>
      </c>
      <c r="B462" s="326" t="s">
        <v>802</v>
      </c>
      <c r="C462" s="330">
        <v>2019</v>
      </c>
      <c r="D462" s="5" t="s">
        <v>811</v>
      </c>
      <c r="E462" s="338" t="s">
        <v>982</v>
      </c>
      <c r="F462" s="333" t="s">
        <v>982</v>
      </c>
      <c r="G462" s="1121" t="s">
        <v>703</v>
      </c>
      <c r="H462" s="327">
        <v>3000</v>
      </c>
      <c r="I462" s="1907">
        <v>0</v>
      </c>
      <c r="J462" s="17">
        <v>0</v>
      </c>
      <c r="K462" s="435">
        <v>0</v>
      </c>
      <c r="L462" s="414">
        <v>0</v>
      </c>
      <c r="M462" s="328">
        <v>0</v>
      </c>
      <c r="N462" s="339">
        <f t="shared" si="28"/>
        <v>0</v>
      </c>
      <c r="O462" s="609">
        <v>0</v>
      </c>
      <c r="P462" s="33">
        <v>0</v>
      </c>
      <c r="Q462" s="33">
        <v>0</v>
      </c>
      <c r="R462" s="447">
        <v>0</v>
      </c>
      <c r="S462" s="334">
        <v>0</v>
      </c>
      <c r="T462" s="33">
        <v>3000</v>
      </c>
      <c r="U462" s="406">
        <v>0</v>
      </c>
      <c r="V462" s="427">
        <v>0</v>
      </c>
      <c r="W462" s="330" t="s">
        <v>784</v>
      </c>
      <c r="X462" s="330" t="s">
        <v>22</v>
      </c>
      <c r="Y462" s="340" t="s">
        <v>312</v>
      </c>
      <c r="Z462" s="331" t="s">
        <v>838</v>
      </c>
      <c r="AA462" s="200" t="s">
        <v>838</v>
      </c>
    </row>
    <row r="463" spans="1:27" s="710" customFormat="1" ht="25.5" x14ac:dyDescent="0.25">
      <c r="A463" s="385" t="s">
        <v>748</v>
      </c>
      <c r="B463" s="386" t="s">
        <v>1259</v>
      </c>
      <c r="C463" s="387">
        <v>2019</v>
      </c>
      <c r="D463" s="72" t="s">
        <v>811</v>
      </c>
      <c r="E463" s="678" t="s">
        <v>547</v>
      </c>
      <c r="F463" s="388" t="s">
        <v>547</v>
      </c>
      <c r="G463" s="169" t="s">
        <v>704</v>
      </c>
      <c r="H463" s="384">
        <v>1410.4970000000001</v>
      </c>
      <c r="I463" s="1910">
        <v>0</v>
      </c>
      <c r="J463" s="22">
        <v>1410.4970000000001</v>
      </c>
      <c r="K463" s="457">
        <v>0</v>
      </c>
      <c r="L463" s="415">
        <v>1410.4970000000001</v>
      </c>
      <c r="M463" s="480">
        <v>0</v>
      </c>
      <c r="N463" s="389">
        <f t="shared" si="28"/>
        <v>1410.4970000000001</v>
      </c>
      <c r="O463" s="611">
        <v>0</v>
      </c>
      <c r="P463" s="113">
        <v>0</v>
      </c>
      <c r="Q463" s="113">
        <v>0</v>
      </c>
      <c r="R463" s="454">
        <v>0</v>
      </c>
      <c r="S463" s="2083">
        <v>0</v>
      </c>
      <c r="T463" s="113">
        <v>0</v>
      </c>
      <c r="U463" s="426">
        <v>0</v>
      </c>
      <c r="V463" s="679">
        <v>0</v>
      </c>
      <c r="W463" s="72" t="s">
        <v>1180</v>
      </c>
      <c r="X463" s="387" t="s">
        <v>877</v>
      </c>
      <c r="Y463" s="393" t="s">
        <v>775</v>
      </c>
      <c r="Z463" s="410" t="s">
        <v>839</v>
      </c>
      <c r="AA463" s="201" t="s">
        <v>839</v>
      </c>
    </row>
    <row r="464" spans="1:27" s="710" customFormat="1" ht="25.5" x14ac:dyDescent="0.25">
      <c r="A464" s="385" t="s">
        <v>749</v>
      </c>
      <c r="B464" s="386" t="s">
        <v>1154</v>
      </c>
      <c r="C464" s="387">
        <v>2019</v>
      </c>
      <c r="D464" s="72" t="s">
        <v>811</v>
      </c>
      <c r="E464" s="678" t="s">
        <v>547</v>
      </c>
      <c r="F464" s="388" t="s">
        <v>547</v>
      </c>
      <c r="G464" s="169" t="s">
        <v>705</v>
      </c>
      <c r="H464" s="384">
        <v>4826.652</v>
      </c>
      <c r="I464" s="1910">
        <v>0</v>
      </c>
      <c r="J464" s="22">
        <v>1500</v>
      </c>
      <c r="K464" s="457">
        <v>0</v>
      </c>
      <c r="L464" s="415">
        <v>1500</v>
      </c>
      <c r="M464" s="480">
        <v>0</v>
      </c>
      <c r="N464" s="389">
        <f t="shared" si="28"/>
        <v>1500</v>
      </c>
      <c r="O464" s="611">
        <v>0</v>
      </c>
      <c r="P464" s="113">
        <v>3326.652</v>
      </c>
      <c r="Q464" s="113">
        <v>0</v>
      </c>
      <c r="R464" s="454">
        <v>0</v>
      </c>
      <c r="S464" s="2083">
        <v>0</v>
      </c>
      <c r="T464" s="113">
        <v>0</v>
      </c>
      <c r="U464" s="426">
        <v>0</v>
      </c>
      <c r="V464" s="426">
        <v>0</v>
      </c>
      <c r="W464" s="72" t="s">
        <v>784</v>
      </c>
      <c r="X464" s="387" t="s">
        <v>877</v>
      </c>
      <c r="Y464" s="393" t="s">
        <v>659</v>
      </c>
      <c r="Z464" s="410" t="s">
        <v>839</v>
      </c>
      <c r="AA464" s="201" t="s">
        <v>839</v>
      </c>
    </row>
    <row r="465" spans="1:27" ht="34.5" customHeight="1" x14ac:dyDescent="0.25">
      <c r="A465" s="326" t="s">
        <v>750</v>
      </c>
      <c r="B465" s="326" t="s">
        <v>802</v>
      </c>
      <c r="C465" s="330">
        <v>2019</v>
      </c>
      <c r="D465" s="5" t="s">
        <v>811</v>
      </c>
      <c r="E465" s="338" t="s">
        <v>569</v>
      </c>
      <c r="F465" s="333" t="s">
        <v>569</v>
      </c>
      <c r="G465" s="1121" t="s">
        <v>706</v>
      </c>
      <c r="H465" s="327">
        <v>6000</v>
      </c>
      <c r="I465" s="1907">
        <v>0</v>
      </c>
      <c r="J465" s="17">
        <v>0</v>
      </c>
      <c r="K465" s="435">
        <v>0</v>
      </c>
      <c r="L465" s="414">
        <v>0</v>
      </c>
      <c r="M465" s="328">
        <v>0</v>
      </c>
      <c r="N465" s="339">
        <f t="shared" si="28"/>
        <v>0</v>
      </c>
      <c r="O465" s="609">
        <v>0</v>
      </c>
      <c r="P465" s="33">
        <v>0</v>
      </c>
      <c r="Q465" s="33">
        <v>0</v>
      </c>
      <c r="R465" s="447">
        <v>0</v>
      </c>
      <c r="S465" s="334">
        <v>0</v>
      </c>
      <c r="T465" s="33">
        <v>6000</v>
      </c>
      <c r="U465" s="406">
        <v>0</v>
      </c>
      <c r="V465" s="427">
        <v>0</v>
      </c>
      <c r="W465" s="330" t="s">
        <v>784</v>
      </c>
      <c r="X465" s="330" t="s">
        <v>22</v>
      </c>
      <c r="Y465" s="340" t="s">
        <v>894</v>
      </c>
      <c r="Z465" s="331" t="s">
        <v>838</v>
      </c>
      <c r="AA465" s="200" t="s">
        <v>838</v>
      </c>
    </row>
    <row r="466" spans="1:27" s="686" customFormat="1" ht="30" x14ac:dyDescent="0.25">
      <c r="A466" s="1510" t="s">
        <v>751</v>
      </c>
      <c r="B466" s="1527" t="s">
        <v>802</v>
      </c>
      <c r="C466" s="1532">
        <v>2019</v>
      </c>
      <c r="D466" s="638" t="s">
        <v>811</v>
      </c>
      <c r="E466" s="1539" t="s">
        <v>707</v>
      </c>
      <c r="F466" s="1540" t="s">
        <v>707</v>
      </c>
      <c r="G466" s="1541" t="s">
        <v>708</v>
      </c>
      <c r="H466" s="1529">
        <v>1913.8389999999999</v>
      </c>
      <c r="I466" s="1909">
        <v>0</v>
      </c>
      <c r="J466" s="691">
        <v>0</v>
      </c>
      <c r="K466" s="1530">
        <v>1913.8389999999999</v>
      </c>
      <c r="L466" s="1542">
        <v>2000</v>
      </c>
      <c r="M466" s="1531">
        <v>-86.161000000000001</v>
      </c>
      <c r="N466" s="1543">
        <f t="shared" si="28"/>
        <v>1913.8389999999999</v>
      </c>
      <c r="O466" s="1544">
        <v>0</v>
      </c>
      <c r="P466" s="1379">
        <v>0</v>
      </c>
      <c r="Q466" s="1379">
        <v>0</v>
      </c>
      <c r="R466" s="1378">
        <v>0</v>
      </c>
      <c r="S466" s="1545">
        <v>0</v>
      </c>
      <c r="T466" s="1379">
        <v>0</v>
      </c>
      <c r="U466" s="1546">
        <v>0</v>
      </c>
      <c r="V466" s="1547">
        <v>0</v>
      </c>
      <c r="W466" s="1532" t="s">
        <v>1551</v>
      </c>
      <c r="X466" s="1532" t="s">
        <v>48</v>
      </c>
      <c r="Y466" s="1548" t="s">
        <v>27</v>
      </c>
      <c r="Z466" s="1533" t="s">
        <v>839</v>
      </c>
      <c r="AA466" s="942" t="s">
        <v>839</v>
      </c>
    </row>
    <row r="467" spans="1:27" ht="25.5" x14ac:dyDescent="0.25">
      <c r="A467" s="320" t="s">
        <v>752</v>
      </c>
      <c r="B467" s="326" t="s">
        <v>802</v>
      </c>
      <c r="C467" s="330">
        <v>2019</v>
      </c>
      <c r="D467" s="5" t="s">
        <v>811</v>
      </c>
      <c r="E467" s="338" t="s">
        <v>518</v>
      </c>
      <c r="F467" s="333" t="s">
        <v>518</v>
      </c>
      <c r="G467" s="1121" t="s">
        <v>709</v>
      </c>
      <c r="H467" s="327">
        <v>700</v>
      </c>
      <c r="I467" s="1907">
        <v>0</v>
      </c>
      <c r="J467" s="17">
        <v>0</v>
      </c>
      <c r="K467" s="435">
        <v>0</v>
      </c>
      <c r="L467" s="414">
        <v>0</v>
      </c>
      <c r="M467" s="328">
        <v>0</v>
      </c>
      <c r="N467" s="339">
        <f t="shared" si="28"/>
        <v>0</v>
      </c>
      <c r="O467" s="609">
        <v>0</v>
      </c>
      <c r="P467" s="33">
        <v>0</v>
      </c>
      <c r="Q467" s="33">
        <v>0</v>
      </c>
      <c r="R467" s="447">
        <v>0</v>
      </c>
      <c r="S467" s="334">
        <v>700</v>
      </c>
      <c r="T467" s="33">
        <v>700</v>
      </c>
      <c r="U467" s="406">
        <v>0</v>
      </c>
      <c r="V467" s="427">
        <v>0</v>
      </c>
      <c r="W467" s="330" t="s">
        <v>784</v>
      </c>
      <c r="X467" s="330" t="s">
        <v>22</v>
      </c>
      <c r="Y467" s="340" t="s">
        <v>312</v>
      </c>
      <c r="Z467" s="331" t="s">
        <v>838</v>
      </c>
      <c r="AA467" s="200" t="s">
        <v>838</v>
      </c>
    </row>
    <row r="468" spans="1:27" ht="25.5" x14ac:dyDescent="0.25">
      <c r="A468" s="326" t="s">
        <v>753</v>
      </c>
      <c r="B468" s="326" t="s">
        <v>802</v>
      </c>
      <c r="C468" s="330">
        <v>2019</v>
      </c>
      <c r="D468" s="5" t="s">
        <v>811</v>
      </c>
      <c r="E468" s="338" t="s">
        <v>518</v>
      </c>
      <c r="F468" s="333" t="s">
        <v>518</v>
      </c>
      <c r="G468" s="1121" t="s">
        <v>710</v>
      </c>
      <c r="H468" s="327">
        <v>900</v>
      </c>
      <c r="I468" s="1907">
        <v>0</v>
      </c>
      <c r="J468" s="17">
        <v>0</v>
      </c>
      <c r="K468" s="435">
        <v>0</v>
      </c>
      <c r="L468" s="414">
        <v>0</v>
      </c>
      <c r="M468" s="328">
        <v>0</v>
      </c>
      <c r="N468" s="339">
        <f t="shared" si="28"/>
        <v>0</v>
      </c>
      <c r="O468" s="609">
        <v>0</v>
      </c>
      <c r="P468" s="33">
        <v>0</v>
      </c>
      <c r="Q468" s="33">
        <v>0</v>
      </c>
      <c r="R468" s="447">
        <v>0</v>
      </c>
      <c r="S468" s="334">
        <v>0</v>
      </c>
      <c r="T468" s="33">
        <v>900</v>
      </c>
      <c r="U468" s="406">
        <v>0</v>
      </c>
      <c r="V468" s="427">
        <v>0</v>
      </c>
      <c r="W468" s="330" t="s">
        <v>784</v>
      </c>
      <c r="X468" s="330" t="s">
        <v>22</v>
      </c>
      <c r="Y468" s="340" t="s">
        <v>312</v>
      </c>
      <c r="Z468" s="331" t="s">
        <v>838</v>
      </c>
      <c r="AA468" s="200" t="s">
        <v>838</v>
      </c>
    </row>
    <row r="469" spans="1:27" ht="26.25" thickBot="1" x14ac:dyDescent="0.3">
      <c r="A469" s="394" t="s">
        <v>754</v>
      </c>
      <c r="B469" s="394" t="s">
        <v>802</v>
      </c>
      <c r="C469" s="337">
        <v>2019</v>
      </c>
      <c r="D469" s="138" t="s">
        <v>811</v>
      </c>
      <c r="E469" s="395" t="s">
        <v>983</v>
      </c>
      <c r="F469" s="396" t="s">
        <v>983</v>
      </c>
      <c r="G469" s="1148" t="s">
        <v>711</v>
      </c>
      <c r="H469" s="397">
        <v>3500</v>
      </c>
      <c r="I469" s="593">
        <v>0</v>
      </c>
      <c r="J469" s="48">
        <v>0</v>
      </c>
      <c r="K469" s="493">
        <v>0</v>
      </c>
      <c r="L469" s="465">
        <v>0</v>
      </c>
      <c r="M469" s="399">
        <v>0</v>
      </c>
      <c r="N469" s="400">
        <f t="shared" si="28"/>
        <v>0</v>
      </c>
      <c r="O469" s="613">
        <v>0</v>
      </c>
      <c r="P469" s="398">
        <v>0</v>
      </c>
      <c r="Q469" s="398">
        <v>0</v>
      </c>
      <c r="R469" s="492">
        <v>0</v>
      </c>
      <c r="S469" s="405">
        <v>0</v>
      </c>
      <c r="T469" s="398">
        <v>3500</v>
      </c>
      <c r="U469" s="401">
        <v>0</v>
      </c>
      <c r="V469" s="428">
        <v>0</v>
      </c>
      <c r="W469" s="337" t="s">
        <v>784</v>
      </c>
      <c r="X469" s="337" t="s">
        <v>22</v>
      </c>
      <c r="Y469" s="390" t="s">
        <v>312</v>
      </c>
      <c r="Z469" s="408" t="s">
        <v>838</v>
      </c>
      <c r="AA469" s="390" t="s">
        <v>838</v>
      </c>
    </row>
    <row r="470" spans="1:27" s="717" customFormat="1" ht="25.5" x14ac:dyDescent="0.25">
      <c r="A470" s="1549" t="s">
        <v>880</v>
      </c>
      <c r="B470" s="1549" t="s">
        <v>802</v>
      </c>
      <c r="C470" s="1550">
        <v>2019</v>
      </c>
      <c r="D470" s="507" t="s">
        <v>936</v>
      </c>
      <c r="E470" s="1551" t="s">
        <v>989</v>
      </c>
      <c r="F470" s="1149" t="s">
        <v>989</v>
      </c>
      <c r="G470" s="1150" t="s">
        <v>881</v>
      </c>
      <c r="H470" s="859">
        <v>5648.8720000000003</v>
      </c>
      <c r="I470" s="1874">
        <v>0</v>
      </c>
      <c r="J470" s="859">
        <v>0</v>
      </c>
      <c r="K470" s="1151">
        <v>5648.8720000000003</v>
      </c>
      <c r="L470" s="1152">
        <v>2000</v>
      </c>
      <c r="M470" s="1153">
        <v>3648.8719999999998</v>
      </c>
      <c r="N470" s="1154">
        <f t="shared" si="28"/>
        <v>5648.8719999999994</v>
      </c>
      <c r="O470" s="1155">
        <v>0</v>
      </c>
      <c r="P470" s="862">
        <v>0</v>
      </c>
      <c r="Q470" s="862">
        <v>0</v>
      </c>
      <c r="R470" s="828">
        <v>0</v>
      </c>
      <c r="S470" s="1156">
        <v>0</v>
      </c>
      <c r="T470" s="862">
        <v>0</v>
      </c>
      <c r="U470" s="1157">
        <v>0</v>
      </c>
      <c r="V470" s="1157">
        <v>0</v>
      </c>
      <c r="W470" s="1158" t="s">
        <v>1599</v>
      </c>
      <c r="X470" s="507" t="s">
        <v>48</v>
      </c>
      <c r="Y470" s="1552" t="s">
        <v>571</v>
      </c>
      <c r="Z470" s="1553" t="s">
        <v>839</v>
      </c>
      <c r="AA470" s="1554" t="s">
        <v>839</v>
      </c>
    </row>
    <row r="471" spans="1:27" ht="25.5" x14ac:dyDescent="0.25">
      <c r="A471" s="386" t="s">
        <v>882</v>
      </c>
      <c r="B471" s="386" t="s">
        <v>1627</v>
      </c>
      <c r="C471" s="387">
        <v>2019</v>
      </c>
      <c r="D471" s="80" t="s">
        <v>936</v>
      </c>
      <c r="E471" s="678" t="s">
        <v>528</v>
      </c>
      <c r="F471" s="388" t="s">
        <v>528</v>
      </c>
      <c r="G471" s="177" t="s">
        <v>883</v>
      </c>
      <c r="H471" s="384">
        <v>664.89499999999998</v>
      </c>
      <c r="I471" s="592">
        <v>0</v>
      </c>
      <c r="J471" s="22">
        <v>664.89499999999998</v>
      </c>
      <c r="K471" s="379">
        <v>0</v>
      </c>
      <c r="L471" s="415">
        <v>664.89499999999998</v>
      </c>
      <c r="M471" s="480">
        <v>0</v>
      </c>
      <c r="N471" s="389">
        <f t="shared" si="28"/>
        <v>664.89499999999998</v>
      </c>
      <c r="O471" s="611">
        <v>0</v>
      </c>
      <c r="P471" s="113">
        <v>0</v>
      </c>
      <c r="Q471" s="113">
        <v>0</v>
      </c>
      <c r="R471" s="454">
        <v>0</v>
      </c>
      <c r="S471" s="112">
        <v>0</v>
      </c>
      <c r="T471" s="113">
        <v>0</v>
      </c>
      <c r="U471" s="426">
        <v>0</v>
      </c>
      <c r="V471" s="426">
        <v>0</v>
      </c>
      <c r="W471" s="72" t="s">
        <v>784</v>
      </c>
      <c r="X471" s="72" t="s">
        <v>877</v>
      </c>
      <c r="Y471" s="71" t="s">
        <v>572</v>
      </c>
      <c r="Z471" s="410" t="s">
        <v>839</v>
      </c>
      <c r="AA471" s="201" t="s">
        <v>839</v>
      </c>
    </row>
    <row r="472" spans="1:27" ht="25.5" x14ac:dyDescent="0.25">
      <c r="A472" s="326" t="s">
        <v>884</v>
      </c>
      <c r="B472" s="326" t="s">
        <v>802</v>
      </c>
      <c r="C472" s="330">
        <v>2019</v>
      </c>
      <c r="D472" s="4" t="s">
        <v>936</v>
      </c>
      <c r="E472" s="338" t="s">
        <v>976</v>
      </c>
      <c r="F472" s="333" t="s">
        <v>976</v>
      </c>
      <c r="G472" s="176" t="s">
        <v>885</v>
      </c>
      <c r="H472" s="327">
        <v>2000</v>
      </c>
      <c r="I472" s="591">
        <v>0</v>
      </c>
      <c r="J472" s="17">
        <v>0</v>
      </c>
      <c r="K472" s="435">
        <v>0</v>
      </c>
      <c r="L472" s="414">
        <v>0</v>
      </c>
      <c r="M472" s="328">
        <v>0</v>
      </c>
      <c r="N472" s="339">
        <f t="shared" si="28"/>
        <v>0</v>
      </c>
      <c r="O472" s="609">
        <v>0</v>
      </c>
      <c r="P472" s="33">
        <v>0</v>
      </c>
      <c r="Q472" s="33">
        <v>0</v>
      </c>
      <c r="R472" s="447">
        <v>0</v>
      </c>
      <c r="S472" s="34">
        <v>2000</v>
      </c>
      <c r="T472" s="33">
        <v>2000</v>
      </c>
      <c r="U472" s="406">
        <v>0</v>
      </c>
      <c r="V472" s="406">
        <v>0</v>
      </c>
      <c r="W472" s="5" t="s">
        <v>784</v>
      </c>
      <c r="X472" s="5" t="s">
        <v>22</v>
      </c>
      <c r="Y472" s="340" t="s">
        <v>312</v>
      </c>
      <c r="Z472" s="331" t="s">
        <v>838</v>
      </c>
      <c r="AA472" s="200" t="s">
        <v>838</v>
      </c>
    </row>
    <row r="473" spans="1:27" s="686" customFormat="1" ht="30" x14ac:dyDescent="0.25">
      <c r="A473" s="1527" t="s">
        <v>886</v>
      </c>
      <c r="B473" s="1555" t="s">
        <v>802</v>
      </c>
      <c r="C473" s="1556">
        <v>2019</v>
      </c>
      <c r="D473" s="1485" t="s">
        <v>936</v>
      </c>
      <c r="E473" s="1539" t="s">
        <v>547</v>
      </c>
      <c r="F473" s="1540" t="s">
        <v>547</v>
      </c>
      <c r="G473" s="1557" t="s">
        <v>887</v>
      </c>
      <c r="H473" s="627">
        <v>412.99799999999999</v>
      </c>
      <c r="I473" s="680">
        <v>0</v>
      </c>
      <c r="J473" s="691">
        <v>0</v>
      </c>
      <c r="K473" s="1530">
        <v>412.99799999999999</v>
      </c>
      <c r="L473" s="1542">
        <v>1000</v>
      </c>
      <c r="M473" s="1531">
        <v>-587.00199999999995</v>
      </c>
      <c r="N473" s="1543">
        <f t="shared" si="28"/>
        <v>412.99800000000005</v>
      </c>
      <c r="O473" s="1558">
        <v>0</v>
      </c>
      <c r="P473" s="1379">
        <v>0</v>
      </c>
      <c r="Q473" s="1559">
        <v>0</v>
      </c>
      <c r="R473" s="1560">
        <v>0</v>
      </c>
      <c r="S473" s="1561">
        <v>0</v>
      </c>
      <c r="T473" s="1559">
        <v>0</v>
      </c>
      <c r="U473" s="1562">
        <v>0</v>
      </c>
      <c r="V473" s="1546">
        <v>0</v>
      </c>
      <c r="W473" s="1532" t="s">
        <v>1552</v>
      </c>
      <c r="X473" s="638" t="s">
        <v>48</v>
      </c>
      <c r="Y473" s="1548" t="s">
        <v>571</v>
      </c>
      <c r="Z473" s="1533" t="s">
        <v>838</v>
      </c>
      <c r="AA473" s="942" t="s">
        <v>838</v>
      </c>
    </row>
    <row r="474" spans="1:27" ht="25.5" x14ac:dyDescent="0.25">
      <c r="A474" s="326" t="s">
        <v>888</v>
      </c>
      <c r="B474" s="430" t="s">
        <v>802</v>
      </c>
      <c r="C474" s="336">
        <v>2019</v>
      </c>
      <c r="D474" s="4" t="s">
        <v>936</v>
      </c>
      <c r="E474" s="338" t="s">
        <v>480</v>
      </c>
      <c r="F474" s="333" t="s">
        <v>480</v>
      </c>
      <c r="G474" s="681" t="s">
        <v>923</v>
      </c>
      <c r="H474" s="429">
        <v>9000</v>
      </c>
      <c r="I474" s="595">
        <v>0</v>
      </c>
      <c r="J474" s="17">
        <v>0</v>
      </c>
      <c r="K474" s="435">
        <v>5000</v>
      </c>
      <c r="L474" s="494">
        <v>5000</v>
      </c>
      <c r="M474" s="432">
        <v>0</v>
      </c>
      <c r="N474" s="339">
        <f t="shared" si="28"/>
        <v>5000</v>
      </c>
      <c r="O474" s="614">
        <v>0</v>
      </c>
      <c r="P474" s="33">
        <v>0</v>
      </c>
      <c r="Q474" s="404">
        <v>0</v>
      </c>
      <c r="R474" s="448">
        <v>0</v>
      </c>
      <c r="S474" s="620">
        <v>4000</v>
      </c>
      <c r="T474" s="404">
        <v>4000</v>
      </c>
      <c r="U474" s="431">
        <v>0</v>
      </c>
      <c r="V474" s="406">
        <v>0</v>
      </c>
      <c r="W474" s="5" t="s">
        <v>784</v>
      </c>
      <c r="X474" s="5" t="s">
        <v>16</v>
      </c>
      <c r="Y474" s="340" t="s">
        <v>27</v>
      </c>
      <c r="Z474" s="331" t="s">
        <v>838</v>
      </c>
      <c r="AA474" s="200" t="s">
        <v>838</v>
      </c>
    </row>
    <row r="475" spans="1:27" ht="25.5" x14ac:dyDescent="0.25">
      <c r="A475" s="326" t="s">
        <v>889</v>
      </c>
      <c r="B475" s="326" t="s">
        <v>1628</v>
      </c>
      <c r="C475" s="330">
        <v>2019</v>
      </c>
      <c r="D475" s="5" t="s">
        <v>936</v>
      </c>
      <c r="E475" s="333" t="s">
        <v>569</v>
      </c>
      <c r="F475" s="333" t="s">
        <v>569</v>
      </c>
      <c r="G475" s="681" t="s">
        <v>1181</v>
      </c>
      <c r="H475" s="327">
        <v>3200</v>
      </c>
      <c r="I475" s="591">
        <v>0</v>
      </c>
      <c r="J475" s="17">
        <v>515.66</v>
      </c>
      <c r="K475" s="435">
        <f>2900-515.66</f>
        <v>2384.34</v>
      </c>
      <c r="L475" s="414">
        <v>2900</v>
      </c>
      <c r="M475" s="328">
        <v>0</v>
      </c>
      <c r="N475" s="339">
        <f t="shared" si="28"/>
        <v>2900</v>
      </c>
      <c r="O475" s="609">
        <v>0</v>
      </c>
      <c r="P475" s="33">
        <v>0</v>
      </c>
      <c r="Q475" s="33">
        <v>300</v>
      </c>
      <c r="R475" s="447">
        <v>0</v>
      </c>
      <c r="S475" s="34">
        <v>0</v>
      </c>
      <c r="T475" s="33">
        <v>0</v>
      </c>
      <c r="U475" s="406">
        <v>0</v>
      </c>
      <c r="V475" s="406">
        <v>0</v>
      </c>
      <c r="W475" s="5" t="s">
        <v>784</v>
      </c>
      <c r="X475" s="5" t="s">
        <v>48</v>
      </c>
      <c r="Y475" s="340" t="s">
        <v>571</v>
      </c>
      <c r="Z475" s="331" t="s">
        <v>839</v>
      </c>
      <c r="AA475" s="200" t="s">
        <v>839</v>
      </c>
    </row>
    <row r="476" spans="1:27" s="705" customFormat="1" ht="31.5" thickBot="1" x14ac:dyDescent="0.3">
      <c r="A476" s="1563" t="s">
        <v>890</v>
      </c>
      <c r="B476" s="1563" t="s">
        <v>802</v>
      </c>
      <c r="C476" s="1564">
        <v>2019</v>
      </c>
      <c r="D476" s="1565" t="s">
        <v>936</v>
      </c>
      <c r="E476" s="1566" t="s">
        <v>518</v>
      </c>
      <c r="F476" s="1567" t="s">
        <v>518</v>
      </c>
      <c r="G476" s="1568" t="s">
        <v>1601</v>
      </c>
      <c r="H476" s="1569">
        <v>1200</v>
      </c>
      <c r="I476" s="682">
        <v>0</v>
      </c>
      <c r="J476" s="1916">
        <v>0</v>
      </c>
      <c r="K476" s="1570">
        <v>1200</v>
      </c>
      <c r="L476" s="1571">
        <v>900</v>
      </c>
      <c r="M476" s="1572">
        <v>300</v>
      </c>
      <c r="N476" s="1572">
        <f t="shared" si="28"/>
        <v>1200</v>
      </c>
      <c r="O476" s="1573">
        <v>0</v>
      </c>
      <c r="P476" s="1574">
        <v>0</v>
      </c>
      <c r="Q476" s="1574">
        <v>0</v>
      </c>
      <c r="R476" s="1590">
        <v>0</v>
      </c>
      <c r="S476" s="1591">
        <v>0</v>
      </c>
      <c r="T476" s="1574">
        <v>0</v>
      </c>
      <c r="U476" s="1592">
        <v>0</v>
      </c>
      <c r="V476" s="1592">
        <v>0</v>
      </c>
      <c r="W476" s="1575" t="s">
        <v>1600</v>
      </c>
      <c r="X476" s="1593" t="s">
        <v>48</v>
      </c>
      <c r="Y476" s="1594" t="s">
        <v>571</v>
      </c>
      <c r="Z476" s="1595" t="s">
        <v>839</v>
      </c>
      <c r="AA476" s="1596" t="s">
        <v>839</v>
      </c>
    </row>
    <row r="477" spans="1:27" ht="25.5" x14ac:dyDescent="0.25">
      <c r="A477" s="1763" t="s">
        <v>941</v>
      </c>
      <c r="B477" s="1763" t="s">
        <v>802</v>
      </c>
      <c r="C477" s="1764">
        <v>2019</v>
      </c>
      <c r="D477" s="722" t="s">
        <v>1175</v>
      </c>
      <c r="E477" s="1765" t="s">
        <v>480</v>
      </c>
      <c r="F477" s="1766" t="s">
        <v>480</v>
      </c>
      <c r="G477" s="1767" t="s">
        <v>942</v>
      </c>
      <c r="H477" s="1757">
        <v>260</v>
      </c>
      <c r="I477" s="1881">
        <v>0</v>
      </c>
      <c r="J477" s="1384">
        <v>0</v>
      </c>
      <c r="K477" s="1769">
        <v>260</v>
      </c>
      <c r="L477" s="1770">
        <v>0</v>
      </c>
      <c r="M477" s="1771">
        <v>260</v>
      </c>
      <c r="N477" s="1771">
        <f t="shared" si="28"/>
        <v>260</v>
      </c>
      <c r="O477" s="1772">
        <v>0</v>
      </c>
      <c r="P477" s="1773">
        <v>0</v>
      </c>
      <c r="Q477" s="1774">
        <v>0</v>
      </c>
      <c r="R477" s="1364">
        <v>0</v>
      </c>
      <c r="S477" s="1245">
        <v>0</v>
      </c>
      <c r="T477" s="1773">
        <v>0</v>
      </c>
      <c r="U477" s="1775">
        <v>0</v>
      </c>
      <c r="V477" s="1775">
        <v>0</v>
      </c>
      <c r="W477" s="722" t="s">
        <v>1590</v>
      </c>
      <c r="X477" s="722" t="s">
        <v>22</v>
      </c>
      <c r="Y477" s="1776" t="s">
        <v>27</v>
      </c>
      <c r="Z477" s="1777" t="s">
        <v>838</v>
      </c>
      <c r="AA477" s="1776" t="s">
        <v>838</v>
      </c>
    </row>
    <row r="478" spans="1:27" s="1493" customFormat="1" ht="25.5" x14ac:dyDescent="0.25">
      <c r="A478" s="1535" t="s">
        <v>943</v>
      </c>
      <c r="B478" s="1578" t="s">
        <v>802</v>
      </c>
      <c r="C478" s="1579">
        <v>2019</v>
      </c>
      <c r="D478" s="683" t="s">
        <v>1175</v>
      </c>
      <c r="E478" s="1580" t="s">
        <v>480</v>
      </c>
      <c r="F478" s="1538" t="s">
        <v>480</v>
      </c>
      <c r="G478" s="1581" t="s">
        <v>944</v>
      </c>
      <c r="H478" s="1582">
        <v>790</v>
      </c>
      <c r="I478" s="661">
        <v>0</v>
      </c>
      <c r="J478" s="1409">
        <v>0</v>
      </c>
      <c r="K478" s="1584">
        <v>790</v>
      </c>
      <c r="L478" s="1585">
        <v>0</v>
      </c>
      <c r="M478" s="1337">
        <v>790</v>
      </c>
      <c r="N478" s="1337">
        <f t="shared" si="28"/>
        <v>790</v>
      </c>
      <c r="O478" s="1586">
        <v>0</v>
      </c>
      <c r="P478" s="1492">
        <v>0</v>
      </c>
      <c r="Q478" s="1587">
        <v>0</v>
      </c>
      <c r="R478" s="1583">
        <v>0</v>
      </c>
      <c r="S478" s="1587">
        <v>0</v>
      </c>
      <c r="T478" s="1492">
        <v>0</v>
      </c>
      <c r="U478" s="1588">
        <v>0</v>
      </c>
      <c r="V478" s="1588">
        <v>0</v>
      </c>
      <c r="W478" s="683" t="s">
        <v>1591</v>
      </c>
      <c r="X478" s="683" t="s">
        <v>22</v>
      </c>
      <c r="Y478" s="1500" t="s">
        <v>27</v>
      </c>
      <c r="Z478" s="1589" t="s">
        <v>838</v>
      </c>
      <c r="AA478" s="1500" t="s">
        <v>838</v>
      </c>
    </row>
    <row r="479" spans="1:27" ht="25.5" x14ac:dyDescent="0.25">
      <c r="A479" s="326" t="s">
        <v>945</v>
      </c>
      <c r="B479" s="320" t="s">
        <v>802</v>
      </c>
      <c r="C479" s="330">
        <v>2019</v>
      </c>
      <c r="D479" s="5" t="s">
        <v>1175</v>
      </c>
      <c r="E479" s="338" t="s">
        <v>707</v>
      </c>
      <c r="F479" s="333" t="s">
        <v>707</v>
      </c>
      <c r="G479" s="1159" t="s">
        <v>946</v>
      </c>
      <c r="H479" s="327">
        <v>1500</v>
      </c>
      <c r="I479" s="591">
        <v>0</v>
      </c>
      <c r="J479" s="17">
        <v>0</v>
      </c>
      <c r="K479" s="435">
        <v>0</v>
      </c>
      <c r="L479" s="495">
        <v>0</v>
      </c>
      <c r="M479" s="328">
        <v>0</v>
      </c>
      <c r="N479" s="339">
        <f t="shared" si="28"/>
        <v>0</v>
      </c>
      <c r="O479" s="609">
        <v>0</v>
      </c>
      <c r="P479" s="33">
        <v>0</v>
      </c>
      <c r="Q479" s="34">
        <v>0</v>
      </c>
      <c r="R479" s="447">
        <v>0</v>
      </c>
      <c r="S479" s="34">
        <v>0</v>
      </c>
      <c r="T479" s="33">
        <v>1500</v>
      </c>
      <c r="U479" s="406">
        <v>0</v>
      </c>
      <c r="V479" s="406">
        <v>0</v>
      </c>
      <c r="W479" s="5" t="s">
        <v>784</v>
      </c>
      <c r="X479" s="5" t="s">
        <v>22</v>
      </c>
      <c r="Y479" s="200" t="s">
        <v>312</v>
      </c>
      <c r="Z479" s="331" t="s">
        <v>838</v>
      </c>
      <c r="AA479" s="200" t="s">
        <v>838</v>
      </c>
    </row>
    <row r="480" spans="1:27" ht="32.25" customHeight="1" x14ac:dyDescent="0.25">
      <c r="A480" s="326" t="s">
        <v>947</v>
      </c>
      <c r="B480" s="326" t="s">
        <v>802</v>
      </c>
      <c r="C480" s="330">
        <v>2019</v>
      </c>
      <c r="D480" s="5" t="s">
        <v>1175</v>
      </c>
      <c r="E480" s="338" t="s">
        <v>504</v>
      </c>
      <c r="F480" s="333" t="s">
        <v>504</v>
      </c>
      <c r="G480" s="1159" t="s">
        <v>948</v>
      </c>
      <c r="H480" s="327">
        <v>680</v>
      </c>
      <c r="I480" s="591">
        <v>0</v>
      </c>
      <c r="J480" s="17">
        <v>0</v>
      </c>
      <c r="K480" s="435">
        <v>0</v>
      </c>
      <c r="L480" s="495">
        <v>0</v>
      </c>
      <c r="M480" s="328">
        <v>0</v>
      </c>
      <c r="N480" s="339">
        <f t="shared" si="28"/>
        <v>0</v>
      </c>
      <c r="O480" s="609">
        <v>0</v>
      </c>
      <c r="P480" s="33">
        <v>0</v>
      </c>
      <c r="Q480" s="34">
        <v>0</v>
      </c>
      <c r="R480" s="447">
        <v>0</v>
      </c>
      <c r="S480" s="34">
        <v>0</v>
      </c>
      <c r="T480" s="33">
        <v>0</v>
      </c>
      <c r="U480" s="406">
        <v>680</v>
      </c>
      <c r="V480" s="406">
        <v>0</v>
      </c>
      <c r="W480" s="5" t="s">
        <v>784</v>
      </c>
      <c r="X480" s="5" t="s">
        <v>22</v>
      </c>
      <c r="Y480" s="200" t="s">
        <v>317</v>
      </c>
      <c r="Z480" s="331" t="s">
        <v>838</v>
      </c>
      <c r="AA480" s="200" t="s">
        <v>838</v>
      </c>
    </row>
    <row r="481" spans="1:27" ht="25.5" x14ac:dyDescent="0.25">
      <c r="A481" s="326" t="s">
        <v>949</v>
      </c>
      <c r="B481" s="320" t="s">
        <v>802</v>
      </c>
      <c r="C481" s="330">
        <v>2019</v>
      </c>
      <c r="D481" s="5" t="s">
        <v>1175</v>
      </c>
      <c r="E481" s="338" t="s">
        <v>504</v>
      </c>
      <c r="F481" s="333" t="s">
        <v>504</v>
      </c>
      <c r="G481" s="1159" t="s">
        <v>700</v>
      </c>
      <c r="H481" s="327">
        <v>4869</v>
      </c>
      <c r="I481" s="591">
        <v>0</v>
      </c>
      <c r="J481" s="17">
        <v>0</v>
      </c>
      <c r="K481" s="435">
        <v>0</v>
      </c>
      <c r="L481" s="495">
        <v>0</v>
      </c>
      <c r="M481" s="328">
        <v>0</v>
      </c>
      <c r="N481" s="339">
        <f t="shared" si="28"/>
        <v>0</v>
      </c>
      <c r="O481" s="609">
        <v>0</v>
      </c>
      <c r="P481" s="33">
        <v>0</v>
      </c>
      <c r="Q481" s="34">
        <v>0</v>
      </c>
      <c r="R481" s="447">
        <v>0</v>
      </c>
      <c r="S481" s="34">
        <v>0</v>
      </c>
      <c r="T481" s="33">
        <v>0</v>
      </c>
      <c r="U481" s="406">
        <v>4869</v>
      </c>
      <c r="V481" s="406">
        <v>0</v>
      </c>
      <c r="W481" s="5" t="s">
        <v>784</v>
      </c>
      <c r="X481" s="5" t="s">
        <v>22</v>
      </c>
      <c r="Y481" s="200" t="s">
        <v>317</v>
      </c>
      <c r="Z481" s="331" t="s">
        <v>838</v>
      </c>
      <c r="AA481" s="200" t="s">
        <v>838</v>
      </c>
    </row>
    <row r="482" spans="1:27" ht="25.5" x14ac:dyDescent="0.25">
      <c r="A482" s="326" t="s">
        <v>950</v>
      </c>
      <c r="B482" s="320" t="s">
        <v>802</v>
      </c>
      <c r="C482" s="330">
        <v>2019</v>
      </c>
      <c r="D482" s="5" t="s">
        <v>1175</v>
      </c>
      <c r="E482" s="338" t="s">
        <v>538</v>
      </c>
      <c r="F482" s="333" t="s">
        <v>538</v>
      </c>
      <c r="G482" s="1159" t="s">
        <v>951</v>
      </c>
      <c r="H482" s="327">
        <v>600</v>
      </c>
      <c r="I482" s="591">
        <v>0</v>
      </c>
      <c r="J482" s="17">
        <v>0</v>
      </c>
      <c r="K482" s="435">
        <v>0</v>
      </c>
      <c r="L482" s="495">
        <v>0</v>
      </c>
      <c r="M482" s="328">
        <v>0</v>
      </c>
      <c r="N482" s="339">
        <f t="shared" si="28"/>
        <v>0</v>
      </c>
      <c r="O482" s="609">
        <v>0</v>
      </c>
      <c r="P482" s="33">
        <v>0</v>
      </c>
      <c r="Q482" s="34">
        <v>0</v>
      </c>
      <c r="R482" s="447">
        <v>0</v>
      </c>
      <c r="S482" s="34">
        <v>0</v>
      </c>
      <c r="T482" s="33">
        <v>0</v>
      </c>
      <c r="U482" s="406">
        <v>600</v>
      </c>
      <c r="V482" s="406">
        <v>0</v>
      </c>
      <c r="W482" s="5" t="s">
        <v>784</v>
      </c>
      <c r="X482" s="5" t="s">
        <v>22</v>
      </c>
      <c r="Y482" s="200" t="s">
        <v>317</v>
      </c>
      <c r="Z482" s="331" t="s">
        <v>838</v>
      </c>
      <c r="AA482" s="200" t="s">
        <v>838</v>
      </c>
    </row>
    <row r="483" spans="1:27" ht="25.5" x14ac:dyDescent="0.25">
      <c r="A483" s="326" t="s">
        <v>952</v>
      </c>
      <c r="B483" s="320" t="s">
        <v>802</v>
      </c>
      <c r="C483" s="330">
        <v>2019</v>
      </c>
      <c r="D483" s="5" t="s">
        <v>1175</v>
      </c>
      <c r="E483" s="338" t="s">
        <v>990</v>
      </c>
      <c r="F483" s="333" t="s">
        <v>990</v>
      </c>
      <c r="G483" s="1159" t="s">
        <v>953</v>
      </c>
      <c r="H483" s="327">
        <v>12000</v>
      </c>
      <c r="I483" s="591">
        <v>0</v>
      </c>
      <c r="J483" s="17">
        <v>0</v>
      </c>
      <c r="K483" s="435">
        <v>0</v>
      </c>
      <c r="L483" s="495">
        <v>0</v>
      </c>
      <c r="M483" s="328">
        <v>0</v>
      </c>
      <c r="N483" s="339">
        <f t="shared" si="28"/>
        <v>0</v>
      </c>
      <c r="O483" s="609">
        <v>0</v>
      </c>
      <c r="P483" s="33">
        <v>0</v>
      </c>
      <c r="Q483" s="34">
        <v>0</v>
      </c>
      <c r="R483" s="447">
        <v>0</v>
      </c>
      <c r="S483" s="34">
        <v>0</v>
      </c>
      <c r="T483" s="33">
        <v>0</v>
      </c>
      <c r="U483" s="406">
        <v>12000</v>
      </c>
      <c r="V483" s="406">
        <v>0</v>
      </c>
      <c r="W483" s="5" t="s">
        <v>784</v>
      </c>
      <c r="X483" s="5" t="s">
        <v>22</v>
      </c>
      <c r="Y483" s="200" t="s">
        <v>317</v>
      </c>
      <c r="Z483" s="331" t="s">
        <v>838</v>
      </c>
      <c r="AA483" s="200" t="s">
        <v>838</v>
      </c>
    </row>
    <row r="484" spans="1:27" ht="25.5" x14ac:dyDescent="0.25">
      <c r="A484" s="326" t="s">
        <v>954</v>
      </c>
      <c r="B484" s="320" t="s">
        <v>802</v>
      </c>
      <c r="C484" s="330">
        <v>2019</v>
      </c>
      <c r="D484" s="5" t="s">
        <v>1175</v>
      </c>
      <c r="E484" s="338" t="s">
        <v>955</v>
      </c>
      <c r="F484" s="333" t="s">
        <v>530</v>
      </c>
      <c r="G484" s="1159" t="s">
        <v>956</v>
      </c>
      <c r="H484" s="327">
        <v>1000</v>
      </c>
      <c r="I484" s="591">
        <v>0</v>
      </c>
      <c r="J484" s="17">
        <v>0</v>
      </c>
      <c r="K484" s="435">
        <v>0</v>
      </c>
      <c r="L484" s="495">
        <v>0</v>
      </c>
      <c r="M484" s="328">
        <v>0</v>
      </c>
      <c r="N484" s="339">
        <f t="shared" si="28"/>
        <v>0</v>
      </c>
      <c r="O484" s="609">
        <v>0</v>
      </c>
      <c r="P484" s="33">
        <v>0</v>
      </c>
      <c r="Q484" s="34">
        <v>0</v>
      </c>
      <c r="R484" s="447">
        <v>0</v>
      </c>
      <c r="S484" s="34">
        <v>0</v>
      </c>
      <c r="T484" s="33">
        <v>0</v>
      </c>
      <c r="U484" s="406">
        <v>1000</v>
      </c>
      <c r="V484" s="406">
        <v>0</v>
      </c>
      <c r="W484" s="5" t="s">
        <v>784</v>
      </c>
      <c r="X484" s="5" t="s">
        <v>22</v>
      </c>
      <c r="Y484" s="200" t="s">
        <v>317</v>
      </c>
      <c r="Z484" s="331" t="s">
        <v>838</v>
      </c>
      <c r="AA484" s="200" t="s">
        <v>838</v>
      </c>
    </row>
    <row r="485" spans="1:27" ht="25.5" x14ac:dyDescent="0.25">
      <c r="A485" s="326" t="s">
        <v>957</v>
      </c>
      <c r="B485" s="320" t="s">
        <v>802</v>
      </c>
      <c r="C485" s="330">
        <v>2019</v>
      </c>
      <c r="D485" s="5" t="s">
        <v>1175</v>
      </c>
      <c r="E485" s="338" t="s">
        <v>480</v>
      </c>
      <c r="F485" s="333" t="s">
        <v>480</v>
      </c>
      <c r="G485" s="1159" t="s">
        <v>958</v>
      </c>
      <c r="H485" s="327">
        <v>8400</v>
      </c>
      <c r="I485" s="591">
        <v>0</v>
      </c>
      <c r="J485" s="17">
        <v>0</v>
      </c>
      <c r="K485" s="435">
        <v>0</v>
      </c>
      <c r="L485" s="495">
        <v>0</v>
      </c>
      <c r="M485" s="328">
        <v>0</v>
      </c>
      <c r="N485" s="339">
        <f t="shared" si="28"/>
        <v>0</v>
      </c>
      <c r="O485" s="609">
        <v>0</v>
      </c>
      <c r="P485" s="33">
        <v>0</v>
      </c>
      <c r="Q485" s="34">
        <v>0</v>
      </c>
      <c r="R485" s="447">
        <v>0</v>
      </c>
      <c r="S485" s="34">
        <v>0</v>
      </c>
      <c r="T485" s="33">
        <v>0</v>
      </c>
      <c r="U485" s="406">
        <v>8400</v>
      </c>
      <c r="V485" s="406">
        <v>0</v>
      </c>
      <c r="W485" s="5" t="s">
        <v>784</v>
      </c>
      <c r="X485" s="5" t="s">
        <v>22</v>
      </c>
      <c r="Y485" s="200" t="s">
        <v>317</v>
      </c>
      <c r="Z485" s="331" t="s">
        <v>838</v>
      </c>
      <c r="AA485" s="200" t="s">
        <v>838</v>
      </c>
    </row>
    <row r="486" spans="1:27" ht="30.75" x14ac:dyDescent="0.25">
      <c r="A486" s="326" t="s">
        <v>959</v>
      </c>
      <c r="B486" s="320" t="s">
        <v>802</v>
      </c>
      <c r="C486" s="330">
        <v>2019</v>
      </c>
      <c r="D486" s="5" t="s">
        <v>1175</v>
      </c>
      <c r="E486" s="338" t="s">
        <v>545</v>
      </c>
      <c r="F486" s="333" t="s">
        <v>545</v>
      </c>
      <c r="G486" s="1159" t="s">
        <v>960</v>
      </c>
      <c r="H486" s="327">
        <v>1300</v>
      </c>
      <c r="I486" s="591">
        <v>0</v>
      </c>
      <c r="J486" s="17">
        <v>0</v>
      </c>
      <c r="K486" s="435">
        <v>0</v>
      </c>
      <c r="L486" s="495">
        <v>0</v>
      </c>
      <c r="M486" s="328">
        <v>0</v>
      </c>
      <c r="N486" s="339">
        <f t="shared" si="28"/>
        <v>0</v>
      </c>
      <c r="O486" s="609">
        <v>0</v>
      </c>
      <c r="P486" s="33">
        <v>0</v>
      </c>
      <c r="Q486" s="34">
        <v>0</v>
      </c>
      <c r="R486" s="447">
        <v>0</v>
      </c>
      <c r="S486" s="34">
        <v>0</v>
      </c>
      <c r="T486" s="33">
        <v>0</v>
      </c>
      <c r="U486" s="406">
        <v>1300</v>
      </c>
      <c r="V486" s="406">
        <v>0</v>
      </c>
      <c r="W486" s="5" t="s">
        <v>784</v>
      </c>
      <c r="X486" s="5" t="s">
        <v>22</v>
      </c>
      <c r="Y486" s="200" t="s">
        <v>317</v>
      </c>
      <c r="Z486" s="331" t="s">
        <v>838</v>
      </c>
      <c r="AA486" s="200" t="s">
        <v>838</v>
      </c>
    </row>
    <row r="487" spans="1:27" ht="30.75" x14ac:dyDescent="0.25">
      <c r="A487" s="326" t="s">
        <v>961</v>
      </c>
      <c r="B487" s="320" t="s">
        <v>802</v>
      </c>
      <c r="C487" s="330">
        <v>2019</v>
      </c>
      <c r="D487" s="5" t="s">
        <v>1175</v>
      </c>
      <c r="E487" s="338" t="s">
        <v>545</v>
      </c>
      <c r="F487" s="333" t="s">
        <v>545</v>
      </c>
      <c r="G487" s="1159" t="s">
        <v>962</v>
      </c>
      <c r="H487" s="327">
        <v>1600</v>
      </c>
      <c r="I487" s="591">
        <v>0</v>
      </c>
      <c r="J487" s="17">
        <v>0</v>
      </c>
      <c r="K487" s="435">
        <v>0</v>
      </c>
      <c r="L487" s="495">
        <v>0</v>
      </c>
      <c r="M487" s="328">
        <v>0</v>
      </c>
      <c r="N487" s="339">
        <f t="shared" ref="N487:N499" si="29">L487+M487</f>
        <v>0</v>
      </c>
      <c r="O487" s="609">
        <v>0</v>
      </c>
      <c r="P487" s="33">
        <v>0</v>
      </c>
      <c r="Q487" s="34">
        <v>0</v>
      </c>
      <c r="R487" s="447">
        <v>0</v>
      </c>
      <c r="S487" s="34">
        <v>0</v>
      </c>
      <c r="T487" s="33">
        <v>0</v>
      </c>
      <c r="U487" s="406">
        <v>1600</v>
      </c>
      <c r="V487" s="406">
        <v>0</v>
      </c>
      <c r="W487" s="5" t="s">
        <v>784</v>
      </c>
      <c r="X487" s="5" t="s">
        <v>22</v>
      </c>
      <c r="Y487" s="200" t="s">
        <v>317</v>
      </c>
      <c r="Z487" s="331" t="s">
        <v>838</v>
      </c>
      <c r="AA487" s="200" t="s">
        <v>838</v>
      </c>
    </row>
    <row r="488" spans="1:27" ht="25.5" x14ac:dyDescent="0.25">
      <c r="A488" s="326" t="s">
        <v>963</v>
      </c>
      <c r="B488" s="320" t="s">
        <v>802</v>
      </c>
      <c r="C488" s="330">
        <v>2019</v>
      </c>
      <c r="D488" s="5" t="s">
        <v>1175</v>
      </c>
      <c r="E488" s="338" t="s">
        <v>964</v>
      </c>
      <c r="F488" s="333" t="s">
        <v>964</v>
      </c>
      <c r="G488" s="1159" t="s">
        <v>965</v>
      </c>
      <c r="H488" s="327">
        <v>6000</v>
      </c>
      <c r="I488" s="591">
        <v>0</v>
      </c>
      <c r="J488" s="17">
        <v>0</v>
      </c>
      <c r="K488" s="435">
        <v>0</v>
      </c>
      <c r="L488" s="495">
        <v>0</v>
      </c>
      <c r="M488" s="328">
        <v>0</v>
      </c>
      <c r="N488" s="339">
        <f t="shared" si="29"/>
        <v>0</v>
      </c>
      <c r="O488" s="609">
        <v>0</v>
      </c>
      <c r="P488" s="33">
        <v>0</v>
      </c>
      <c r="Q488" s="34">
        <v>0</v>
      </c>
      <c r="R488" s="447">
        <v>0</v>
      </c>
      <c r="S488" s="34">
        <v>0</v>
      </c>
      <c r="T488" s="33">
        <v>0</v>
      </c>
      <c r="U488" s="406">
        <v>6000</v>
      </c>
      <c r="V488" s="406">
        <v>0</v>
      </c>
      <c r="W488" s="5" t="s">
        <v>784</v>
      </c>
      <c r="X488" s="5" t="s">
        <v>22</v>
      </c>
      <c r="Y488" s="200" t="s">
        <v>317</v>
      </c>
      <c r="Z488" s="331" t="s">
        <v>838</v>
      </c>
      <c r="AA488" s="200" t="s">
        <v>838</v>
      </c>
    </row>
    <row r="489" spans="1:27" ht="25.5" x14ac:dyDescent="0.25">
      <c r="A489" s="326" t="s">
        <v>966</v>
      </c>
      <c r="B489" s="320" t="s">
        <v>802</v>
      </c>
      <c r="C489" s="330">
        <v>2019</v>
      </c>
      <c r="D489" s="5" t="s">
        <v>1175</v>
      </c>
      <c r="E489" s="338" t="s">
        <v>981</v>
      </c>
      <c r="F489" s="333" t="s">
        <v>981</v>
      </c>
      <c r="G489" s="1159" t="s">
        <v>967</v>
      </c>
      <c r="H489" s="327">
        <v>840</v>
      </c>
      <c r="I489" s="591">
        <v>0</v>
      </c>
      <c r="J489" s="17">
        <v>0</v>
      </c>
      <c r="K489" s="435">
        <v>0</v>
      </c>
      <c r="L489" s="495">
        <v>0</v>
      </c>
      <c r="M489" s="328">
        <v>0</v>
      </c>
      <c r="N489" s="339">
        <f t="shared" si="29"/>
        <v>0</v>
      </c>
      <c r="O489" s="609">
        <v>0</v>
      </c>
      <c r="P489" s="33">
        <v>0</v>
      </c>
      <c r="Q489" s="34">
        <v>0</v>
      </c>
      <c r="R489" s="447">
        <v>0</v>
      </c>
      <c r="S489" s="34">
        <v>0</v>
      </c>
      <c r="T489" s="33">
        <v>0</v>
      </c>
      <c r="U489" s="406">
        <v>840</v>
      </c>
      <c r="V489" s="406">
        <v>0</v>
      </c>
      <c r="W489" s="5" t="s">
        <v>784</v>
      </c>
      <c r="X489" s="5" t="s">
        <v>22</v>
      </c>
      <c r="Y489" s="200" t="s">
        <v>317</v>
      </c>
      <c r="Z489" s="331" t="s">
        <v>838</v>
      </c>
      <c r="AA489" s="200" t="s">
        <v>838</v>
      </c>
    </row>
    <row r="490" spans="1:27" ht="25.5" x14ac:dyDescent="0.25">
      <c r="A490" s="326" t="s">
        <v>968</v>
      </c>
      <c r="B490" s="326" t="s">
        <v>802</v>
      </c>
      <c r="C490" s="330">
        <v>2019</v>
      </c>
      <c r="D490" s="5" t="s">
        <v>1175</v>
      </c>
      <c r="E490" s="338" t="s">
        <v>569</v>
      </c>
      <c r="F490" s="333" t="s">
        <v>569</v>
      </c>
      <c r="G490" s="1159" t="s">
        <v>969</v>
      </c>
      <c r="H490" s="327">
        <v>1000</v>
      </c>
      <c r="I490" s="591">
        <v>0</v>
      </c>
      <c r="J490" s="17">
        <v>0</v>
      </c>
      <c r="K490" s="435">
        <v>0</v>
      </c>
      <c r="L490" s="495">
        <v>0</v>
      </c>
      <c r="M490" s="328">
        <v>0</v>
      </c>
      <c r="N490" s="339">
        <f t="shared" si="29"/>
        <v>0</v>
      </c>
      <c r="O490" s="609">
        <v>0</v>
      </c>
      <c r="P490" s="33">
        <v>0</v>
      </c>
      <c r="Q490" s="34">
        <v>0</v>
      </c>
      <c r="R490" s="447">
        <v>0</v>
      </c>
      <c r="S490" s="34">
        <v>0</v>
      </c>
      <c r="T490" s="33">
        <v>1000</v>
      </c>
      <c r="U490" s="406">
        <v>0</v>
      </c>
      <c r="V490" s="406">
        <v>0</v>
      </c>
      <c r="W490" s="5" t="s">
        <v>784</v>
      </c>
      <c r="X490" s="5" t="s">
        <v>22</v>
      </c>
      <c r="Y490" s="200" t="s">
        <v>571</v>
      </c>
      <c r="Z490" s="331" t="s">
        <v>838</v>
      </c>
      <c r="AA490" s="200" t="s">
        <v>838</v>
      </c>
    </row>
    <row r="491" spans="1:27" ht="25.5" x14ac:dyDescent="0.25">
      <c r="A491" s="1173" t="s">
        <v>970</v>
      </c>
      <c r="B491" s="1754" t="s">
        <v>802</v>
      </c>
      <c r="C491" s="1750">
        <v>2019</v>
      </c>
      <c r="D491" s="657" t="s">
        <v>1175</v>
      </c>
      <c r="E491" s="1755" t="s">
        <v>14</v>
      </c>
      <c r="F491" s="1175" t="s">
        <v>542</v>
      </c>
      <c r="G491" s="1778" t="s">
        <v>1040</v>
      </c>
      <c r="H491" s="1744">
        <v>5800</v>
      </c>
      <c r="I491" s="684">
        <v>0</v>
      </c>
      <c r="J491" s="813">
        <v>0</v>
      </c>
      <c r="K491" s="1349">
        <v>3500</v>
      </c>
      <c r="L491" s="1779">
        <v>5800</v>
      </c>
      <c r="M491" s="1385">
        <v>-2300</v>
      </c>
      <c r="N491" s="1385">
        <f t="shared" si="29"/>
        <v>3500</v>
      </c>
      <c r="O491" s="1759">
        <v>0</v>
      </c>
      <c r="P491" s="1246">
        <v>0</v>
      </c>
      <c r="Q491" s="1245">
        <v>0</v>
      </c>
      <c r="R491" s="1364">
        <v>0</v>
      </c>
      <c r="S491" s="1245">
        <v>0</v>
      </c>
      <c r="T491" s="1246">
        <v>2300</v>
      </c>
      <c r="U491" s="1760">
        <v>0</v>
      </c>
      <c r="V491" s="1760">
        <v>0</v>
      </c>
      <c r="W491" s="657" t="s">
        <v>1592</v>
      </c>
      <c r="X491" s="657" t="s">
        <v>16</v>
      </c>
      <c r="Y491" s="1317" t="s">
        <v>27</v>
      </c>
      <c r="Z491" s="1672" t="s">
        <v>838</v>
      </c>
      <c r="AA491" s="1317" t="s">
        <v>838</v>
      </c>
    </row>
    <row r="492" spans="1:27" ht="25.5" x14ac:dyDescent="0.25">
      <c r="A492" s="326" t="s">
        <v>971</v>
      </c>
      <c r="B492" s="326" t="s">
        <v>802</v>
      </c>
      <c r="C492" s="330">
        <v>2019</v>
      </c>
      <c r="D492" s="5" t="s">
        <v>1175</v>
      </c>
      <c r="E492" s="338" t="s">
        <v>707</v>
      </c>
      <c r="F492" s="333" t="s">
        <v>707</v>
      </c>
      <c r="G492" s="1159" t="s">
        <v>972</v>
      </c>
      <c r="H492" s="327">
        <v>4900</v>
      </c>
      <c r="I492" s="591">
        <v>0</v>
      </c>
      <c r="J492" s="17">
        <v>0</v>
      </c>
      <c r="K492" s="435">
        <v>0</v>
      </c>
      <c r="L492" s="495">
        <v>0</v>
      </c>
      <c r="M492" s="328">
        <v>0</v>
      </c>
      <c r="N492" s="339">
        <f t="shared" si="29"/>
        <v>0</v>
      </c>
      <c r="O492" s="609">
        <v>0</v>
      </c>
      <c r="P492" s="33">
        <v>0</v>
      </c>
      <c r="Q492" s="34">
        <v>0</v>
      </c>
      <c r="R492" s="447">
        <v>0</v>
      </c>
      <c r="S492" s="34">
        <v>0</v>
      </c>
      <c r="T492" s="33">
        <v>0</v>
      </c>
      <c r="U492" s="406">
        <v>4900</v>
      </c>
      <c r="V492" s="406">
        <v>0</v>
      </c>
      <c r="W492" s="5" t="s">
        <v>784</v>
      </c>
      <c r="X492" s="5" t="s">
        <v>22</v>
      </c>
      <c r="Y492" s="200" t="s">
        <v>1200</v>
      </c>
      <c r="Z492" s="331" t="s">
        <v>838</v>
      </c>
      <c r="AA492" s="200" t="s">
        <v>838</v>
      </c>
    </row>
    <row r="493" spans="1:27" s="717" customFormat="1" ht="26.25" thickBot="1" x14ac:dyDescent="0.3">
      <c r="A493" s="1893" t="s">
        <v>1231</v>
      </c>
      <c r="B493" s="1893" t="s">
        <v>802</v>
      </c>
      <c r="C493" s="1894">
        <v>2019</v>
      </c>
      <c r="D493" s="1593" t="s">
        <v>1256</v>
      </c>
      <c r="E493" s="1593" t="s">
        <v>964</v>
      </c>
      <c r="F493" s="1593" t="s">
        <v>964</v>
      </c>
      <c r="G493" s="1895" t="s">
        <v>1232</v>
      </c>
      <c r="H493" s="1896">
        <v>857.86946999999998</v>
      </c>
      <c r="I493" s="1911">
        <v>0</v>
      </c>
      <c r="J493" s="1916">
        <v>0</v>
      </c>
      <c r="K493" s="1897">
        <v>857.86946999999998</v>
      </c>
      <c r="L493" s="1898">
        <v>500</v>
      </c>
      <c r="M493" s="1572">
        <v>357.86946999999998</v>
      </c>
      <c r="N493" s="1572">
        <f t="shared" si="29"/>
        <v>857.86946999999998</v>
      </c>
      <c r="O493" s="1573">
        <v>0</v>
      </c>
      <c r="P493" s="1574">
        <v>0</v>
      </c>
      <c r="Q493" s="1591">
        <v>0</v>
      </c>
      <c r="R493" s="1590">
        <v>0</v>
      </c>
      <c r="S493" s="1591">
        <v>0</v>
      </c>
      <c r="T493" s="1574">
        <v>0</v>
      </c>
      <c r="U493" s="1592">
        <v>0</v>
      </c>
      <c r="V493" s="1592">
        <v>0</v>
      </c>
      <c r="W493" s="1593" t="s">
        <v>1593</v>
      </c>
      <c r="X493" s="1593" t="s">
        <v>48</v>
      </c>
      <c r="Y493" s="1596" t="s">
        <v>571</v>
      </c>
      <c r="Z493" s="1595" t="s">
        <v>839</v>
      </c>
      <c r="AA493" s="1596" t="s">
        <v>839</v>
      </c>
    </row>
    <row r="494" spans="1:27" ht="25.5" x14ac:dyDescent="0.25">
      <c r="A494" s="1886" t="s">
        <v>1468</v>
      </c>
      <c r="B494" s="1886" t="s">
        <v>802</v>
      </c>
      <c r="C494" s="1887">
        <v>2019</v>
      </c>
      <c r="D494" s="659" t="s">
        <v>784</v>
      </c>
      <c r="E494" s="1161" t="s">
        <v>545</v>
      </c>
      <c r="F494" s="1162" t="s">
        <v>545</v>
      </c>
      <c r="G494" s="1163" t="s">
        <v>1469</v>
      </c>
      <c r="H494" s="1128">
        <v>600</v>
      </c>
      <c r="I494" s="1882">
        <v>0</v>
      </c>
      <c r="J494" s="714">
        <v>0</v>
      </c>
      <c r="K494" s="1888">
        <v>600</v>
      </c>
      <c r="L494" s="1889">
        <v>0</v>
      </c>
      <c r="M494" s="1499">
        <v>600</v>
      </c>
      <c r="N494" s="1499">
        <f t="shared" si="29"/>
        <v>600</v>
      </c>
      <c r="O494" s="1890">
        <v>0</v>
      </c>
      <c r="P494" s="1129">
        <v>0</v>
      </c>
      <c r="Q494" s="1360">
        <v>0</v>
      </c>
      <c r="R494" s="917">
        <v>0</v>
      </c>
      <c r="S494" s="1360">
        <v>0</v>
      </c>
      <c r="T494" s="1129">
        <v>0</v>
      </c>
      <c r="U494" s="1305">
        <v>0</v>
      </c>
      <c r="V494" s="1305">
        <v>0</v>
      </c>
      <c r="W494" s="659" t="s">
        <v>784</v>
      </c>
      <c r="X494" s="659" t="s">
        <v>22</v>
      </c>
      <c r="Y494" s="1891" t="s">
        <v>27</v>
      </c>
      <c r="Z494" s="1892" t="s">
        <v>838</v>
      </c>
      <c r="AA494" s="1891" t="s">
        <v>838</v>
      </c>
    </row>
    <row r="495" spans="1:27" ht="25.5" x14ac:dyDescent="0.25">
      <c r="A495" s="1131" t="s">
        <v>1470</v>
      </c>
      <c r="B495" s="1131" t="s">
        <v>802</v>
      </c>
      <c r="C495" s="1160">
        <v>2019</v>
      </c>
      <c r="D495" s="646" t="s">
        <v>784</v>
      </c>
      <c r="E495" s="1170" t="s">
        <v>545</v>
      </c>
      <c r="F495" s="1171" t="s">
        <v>545</v>
      </c>
      <c r="G495" s="1172" t="s">
        <v>1471</v>
      </c>
      <c r="H495" s="696">
        <v>600</v>
      </c>
      <c r="I495" s="1383">
        <v>0</v>
      </c>
      <c r="J495" s="696">
        <v>0</v>
      </c>
      <c r="K495" s="999">
        <v>600</v>
      </c>
      <c r="L495" s="1165">
        <v>0</v>
      </c>
      <c r="M495" s="1166">
        <v>600</v>
      </c>
      <c r="N495" s="1166">
        <f t="shared" si="29"/>
        <v>600</v>
      </c>
      <c r="O495" s="1167">
        <v>0</v>
      </c>
      <c r="P495" s="1011">
        <v>0</v>
      </c>
      <c r="Q495" s="1168">
        <v>0</v>
      </c>
      <c r="R495" s="917">
        <v>0</v>
      </c>
      <c r="S495" s="1360">
        <v>0</v>
      </c>
      <c r="T495" s="1011">
        <v>0</v>
      </c>
      <c r="U495" s="1305">
        <v>0</v>
      </c>
      <c r="V495" s="1169">
        <v>0</v>
      </c>
      <c r="W495" s="659" t="s">
        <v>784</v>
      </c>
      <c r="X495" s="646" t="s">
        <v>22</v>
      </c>
      <c r="Y495" s="1147" t="s">
        <v>27</v>
      </c>
      <c r="Z495" s="1146" t="s">
        <v>838</v>
      </c>
      <c r="AA495" s="1147" t="s">
        <v>838</v>
      </c>
    </row>
    <row r="496" spans="1:27" ht="25.5" x14ac:dyDescent="0.25">
      <c r="A496" s="1131" t="s">
        <v>1472</v>
      </c>
      <c r="B496" s="1131" t="s">
        <v>802</v>
      </c>
      <c r="C496" s="1160">
        <v>2019</v>
      </c>
      <c r="D496" s="646" t="s">
        <v>784</v>
      </c>
      <c r="E496" s="1127" t="s">
        <v>480</v>
      </c>
      <c r="F496" s="1127" t="s">
        <v>480</v>
      </c>
      <c r="G496" s="1163" t="s">
        <v>1473</v>
      </c>
      <c r="H496" s="1128">
        <v>460</v>
      </c>
      <c r="I496" s="1383">
        <v>0</v>
      </c>
      <c r="J496" s="696">
        <v>0</v>
      </c>
      <c r="K496" s="999">
        <v>460</v>
      </c>
      <c r="L496" s="1165">
        <v>0</v>
      </c>
      <c r="M496" s="1166">
        <v>460</v>
      </c>
      <c r="N496" s="1166">
        <v>460</v>
      </c>
      <c r="O496" s="1167">
        <v>0</v>
      </c>
      <c r="P496" s="1011">
        <v>0</v>
      </c>
      <c r="Q496" s="1168">
        <v>0</v>
      </c>
      <c r="R496" s="917">
        <v>0</v>
      </c>
      <c r="S496" s="1360">
        <v>0</v>
      </c>
      <c r="T496" s="1011">
        <v>0</v>
      </c>
      <c r="U496" s="1305">
        <v>0</v>
      </c>
      <c r="V496" s="1169">
        <v>0</v>
      </c>
      <c r="W496" s="659" t="s">
        <v>784</v>
      </c>
      <c r="X496" s="646" t="s">
        <v>22</v>
      </c>
      <c r="Y496" s="1147" t="s">
        <v>27</v>
      </c>
      <c r="Z496" s="1146" t="s">
        <v>838</v>
      </c>
      <c r="AA496" s="1147" t="s">
        <v>838</v>
      </c>
    </row>
    <row r="497" spans="1:27" s="1928" customFormat="1" ht="25.5" x14ac:dyDescent="0.25">
      <c r="A497" s="1131" t="s">
        <v>1474</v>
      </c>
      <c r="B497" s="1131" t="s">
        <v>802</v>
      </c>
      <c r="C497" s="646">
        <v>2019</v>
      </c>
      <c r="D497" s="646" t="s">
        <v>784</v>
      </c>
      <c r="E497" s="1132" t="s">
        <v>480</v>
      </c>
      <c r="F497" s="1132" t="s">
        <v>480</v>
      </c>
      <c r="G497" s="1927" t="s">
        <v>1475</v>
      </c>
      <c r="H497" s="1164">
        <v>980</v>
      </c>
      <c r="I497" s="1383">
        <v>0</v>
      </c>
      <c r="J497" s="696">
        <v>0</v>
      </c>
      <c r="K497" s="999">
        <v>980</v>
      </c>
      <c r="L497" s="1165">
        <v>0</v>
      </c>
      <c r="M497" s="1166">
        <v>980</v>
      </c>
      <c r="N497" s="1166">
        <f t="shared" si="29"/>
        <v>980</v>
      </c>
      <c r="O497" s="1167">
        <v>0</v>
      </c>
      <c r="P497" s="1011">
        <v>0</v>
      </c>
      <c r="Q497" s="1168">
        <v>0</v>
      </c>
      <c r="R497" s="917">
        <v>0</v>
      </c>
      <c r="S497" s="1360">
        <v>0</v>
      </c>
      <c r="T497" s="1011">
        <v>0</v>
      </c>
      <c r="U497" s="1305">
        <v>0</v>
      </c>
      <c r="V497" s="1169">
        <v>0</v>
      </c>
      <c r="W497" s="659" t="s">
        <v>784</v>
      </c>
      <c r="X497" s="646" t="s">
        <v>22</v>
      </c>
      <c r="Y497" s="1147" t="s">
        <v>27</v>
      </c>
      <c r="Z497" s="1146" t="s">
        <v>838</v>
      </c>
      <c r="AA497" s="1147" t="s">
        <v>838</v>
      </c>
    </row>
    <row r="498" spans="1:27" s="1928" customFormat="1" ht="25.5" x14ac:dyDescent="0.25">
      <c r="A498" s="1131" t="s">
        <v>1474</v>
      </c>
      <c r="B498" s="995" t="s">
        <v>802</v>
      </c>
      <c r="C498" s="646">
        <v>2019</v>
      </c>
      <c r="D498" s="646" t="s">
        <v>784</v>
      </c>
      <c r="E498" s="1132" t="s">
        <v>480</v>
      </c>
      <c r="F498" s="1132" t="s">
        <v>480</v>
      </c>
      <c r="G498" s="1927" t="s">
        <v>1476</v>
      </c>
      <c r="H498" s="1164">
        <v>800</v>
      </c>
      <c r="I498" s="1383">
        <v>0</v>
      </c>
      <c r="J498" s="696">
        <v>0</v>
      </c>
      <c r="K498" s="999">
        <v>800</v>
      </c>
      <c r="L498" s="1165">
        <v>0</v>
      </c>
      <c r="M498" s="1166">
        <v>800</v>
      </c>
      <c r="N498" s="1166">
        <f t="shared" si="29"/>
        <v>800</v>
      </c>
      <c r="O498" s="1167">
        <v>0</v>
      </c>
      <c r="P498" s="1011">
        <v>0</v>
      </c>
      <c r="Q498" s="1168">
        <v>0</v>
      </c>
      <c r="R498" s="917">
        <v>0</v>
      </c>
      <c r="S498" s="1360">
        <v>0</v>
      </c>
      <c r="T498" s="1011">
        <v>0</v>
      </c>
      <c r="U498" s="1305">
        <v>0</v>
      </c>
      <c r="V498" s="1169">
        <v>0</v>
      </c>
      <c r="W498" s="659" t="s">
        <v>784</v>
      </c>
      <c r="X498" s="646" t="s">
        <v>22</v>
      </c>
      <c r="Y498" s="1147" t="s">
        <v>27</v>
      </c>
      <c r="Z498" s="1146" t="s">
        <v>838</v>
      </c>
      <c r="AA498" s="1147" t="s">
        <v>838</v>
      </c>
    </row>
    <row r="499" spans="1:27" s="1928" customFormat="1" ht="30" x14ac:dyDescent="0.25">
      <c r="A499" s="1131" t="s">
        <v>1541</v>
      </c>
      <c r="B499" s="983" t="s">
        <v>802</v>
      </c>
      <c r="C499" s="659">
        <v>2019</v>
      </c>
      <c r="D499" s="659" t="s">
        <v>784</v>
      </c>
      <c r="E499" s="1497" t="s">
        <v>478</v>
      </c>
      <c r="F499" s="1127" t="s">
        <v>478</v>
      </c>
      <c r="G499" s="1822" t="s">
        <v>1542</v>
      </c>
      <c r="H499" s="1128">
        <v>800</v>
      </c>
      <c r="I499" s="1882">
        <v>0</v>
      </c>
      <c r="J499" s="696">
        <v>0</v>
      </c>
      <c r="K499" s="1360">
        <v>800</v>
      </c>
      <c r="L499" s="1498">
        <v>0</v>
      </c>
      <c r="M499" s="1499">
        <v>800</v>
      </c>
      <c r="N499" s="1499">
        <f t="shared" si="29"/>
        <v>800</v>
      </c>
      <c r="O499" s="987">
        <v>0</v>
      </c>
      <c r="P499" s="1129">
        <v>0</v>
      </c>
      <c r="Q499" s="1360">
        <v>0</v>
      </c>
      <c r="R499" s="917">
        <v>0</v>
      </c>
      <c r="S499" s="1360">
        <v>0</v>
      </c>
      <c r="T499" s="1129">
        <v>0</v>
      </c>
      <c r="U499" s="1305">
        <v>0</v>
      </c>
      <c r="V499" s="1305">
        <v>0</v>
      </c>
      <c r="W499" s="659" t="s">
        <v>784</v>
      </c>
      <c r="X499" s="646" t="s">
        <v>22</v>
      </c>
      <c r="Y499" s="1147" t="s">
        <v>27</v>
      </c>
      <c r="Z499" s="1146" t="s">
        <v>838</v>
      </c>
      <c r="AA499" s="1147" t="s">
        <v>838</v>
      </c>
    </row>
    <row r="500" spans="1:27" ht="15.75" thickBot="1" x14ac:dyDescent="0.3">
      <c r="A500" s="180"/>
      <c r="B500" s="228"/>
      <c r="C500" s="58"/>
      <c r="D500" s="58"/>
      <c r="E500" s="819"/>
      <c r="F500" s="725"/>
      <c r="G500" s="726"/>
      <c r="H500" s="725"/>
      <c r="I500" s="821"/>
      <c r="J500" s="725"/>
      <c r="K500" s="2025"/>
      <c r="L500" s="2028"/>
      <c r="M500" s="1496"/>
      <c r="N500" s="1738"/>
      <c r="P500" s="725"/>
      <c r="Q500" s="725"/>
      <c r="R500" s="2024"/>
      <c r="S500" s="2025"/>
      <c r="T500" s="725"/>
      <c r="U500" s="725"/>
      <c r="V500" s="725"/>
      <c r="W500" s="725"/>
      <c r="X500" s="725"/>
      <c r="Y500" s="725"/>
      <c r="Z500" s="821"/>
      <c r="AA500" s="725"/>
    </row>
    <row r="501" spans="1:27" ht="33.75" customHeight="1" thickBot="1" x14ac:dyDescent="0.3">
      <c r="A501" s="378" t="s">
        <v>784</v>
      </c>
      <c r="B501" s="630" t="s">
        <v>784</v>
      </c>
      <c r="C501" s="210" t="s">
        <v>784</v>
      </c>
      <c r="D501" s="116" t="s">
        <v>784</v>
      </c>
      <c r="E501" s="800" t="s">
        <v>784</v>
      </c>
      <c r="F501" s="160" t="s">
        <v>784</v>
      </c>
      <c r="G501" s="802" t="s">
        <v>912</v>
      </c>
      <c r="H501" s="99">
        <f t="shared" ref="H501:I501" si="30">SUM(H423:H500)</f>
        <v>241316.91136</v>
      </c>
      <c r="I501" s="99">
        <f t="shared" si="30"/>
        <v>4802.0999000000002</v>
      </c>
      <c r="J501" s="99">
        <v>27734.928180000003</v>
      </c>
      <c r="K501" s="413">
        <f>SUM(K423:K500)</f>
        <v>59601.387750000002</v>
      </c>
      <c r="L501" s="615">
        <v>87801.562099999996</v>
      </c>
      <c r="M501" s="503">
        <f t="shared" ref="M501:V501" si="31">SUM(M423:M500)</f>
        <v>-465.3046400000012</v>
      </c>
      <c r="N501" s="99">
        <f t="shared" si="31"/>
        <v>87336.257460000023</v>
      </c>
      <c r="O501" s="438">
        <f t="shared" si="31"/>
        <v>0</v>
      </c>
      <c r="P501" s="413">
        <f t="shared" si="31"/>
        <v>3926.652</v>
      </c>
      <c r="Q501" s="413">
        <f t="shared" si="31"/>
        <v>300</v>
      </c>
      <c r="R501" s="441">
        <f t="shared" si="31"/>
        <v>8509.351999999999</v>
      </c>
      <c r="S501" s="615">
        <f t="shared" si="31"/>
        <v>25800</v>
      </c>
      <c r="T501" s="413">
        <f t="shared" si="31"/>
        <v>69999.902000000002</v>
      </c>
      <c r="U501" s="413">
        <f t="shared" si="31"/>
        <v>74952</v>
      </c>
      <c r="V501" s="413">
        <f t="shared" si="31"/>
        <v>0</v>
      </c>
      <c r="W501" s="134" t="s">
        <v>1523</v>
      </c>
      <c r="X501" s="100" t="s">
        <v>784</v>
      </c>
      <c r="Y501" s="105" t="s">
        <v>784</v>
      </c>
      <c r="Z501" s="407" t="s">
        <v>784</v>
      </c>
      <c r="AA501" s="105" t="s">
        <v>784</v>
      </c>
    </row>
    <row r="502" spans="1:27" ht="30" customHeight="1" x14ac:dyDescent="0.25">
      <c r="A502" s="1602" t="s">
        <v>549</v>
      </c>
      <c r="B502" s="1603" t="s">
        <v>550</v>
      </c>
      <c r="C502" s="1604">
        <v>2018</v>
      </c>
      <c r="D502" s="1604" t="s">
        <v>809</v>
      </c>
      <c r="E502" s="1605" t="s">
        <v>14</v>
      </c>
      <c r="F502" s="1605" t="s">
        <v>14</v>
      </c>
      <c r="G502" s="1606" t="s">
        <v>551</v>
      </c>
      <c r="H502" s="1607">
        <v>31100</v>
      </c>
      <c r="I502" s="1607">
        <v>1404.4888999999998</v>
      </c>
      <c r="J502" s="1607">
        <v>770.9674</v>
      </c>
      <c r="K502" s="1609">
        <v>0</v>
      </c>
      <c r="L502" s="1610">
        <v>19696</v>
      </c>
      <c r="M502" s="1374">
        <v>-18925.032599999999</v>
      </c>
      <c r="N502" s="1611">
        <f>L502+M502</f>
        <v>770.96740000000136</v>
      </c>
      <c r="O502" s="1352">
        <v>0</v>
      </c>
      <c r="P502" s="1353">
        <v>0</v>
      </c>
      <c r="Q502" s="1612">
        <v>0</v>
      </c>
      <c r="R502" s="1608">
        <v>0</v>
      </c>
      <c r="S502" s="1610">
        <v>5000</v>
      </c>
      <c r="T502" s="1353">
        <v>10000</v>
      </c>
      <c r="U502" s="1613">
        <v>10000</v>
      </c>
      <c r="V502" s="1613">
        <v>8924.5437000000002</v>
      </c>
      <c r="W502" s="1351" t="s">
        <v>1594</v>
      </c>
      <c r="X502" s="1355" t="s">
        <v>22</v>
      </c>
      <c r="Y502" s="1357" t="s">
        <v>312</v>
      </c>
      <c r="Z502" s="1357" t="s">
        <v>799</v>
      </c>
      <c r="AA502" s="1356" t="s">
        <v>839</v>
      </c>
    </row>
    <row r="503" spans="1:27" ht="15.75" thickBot="1" x14ac:dyDescent="0.3">
      <c r="A503" s="180"/>
      <c r="B503" s="228"/>
      <c r="C503" s="58"/>
      <c r="D503" s="58"/>
      <c r="E503" s="798"/>
      <c r="F503" s="92"/>
      <c r="G503" s="809"/>
      <c r="H503" s="182"/>
      <c r="I503" s="182"/>
      <c r="J503" s="182"/>
      <c r="K503" s="561"/>
      <c r="L503" s="436"/>
      <c r="M503" s="260"/>
      <c r="N503" s="251"/>
      <c r="O503" s="16"/>
      <c r="P503" s="8"/>
      <c r="Q503" s="8"/>
      <c r="R503" s="2004"/>
      <c r="S503" s="16"/>
      <c r="T503" s="8"/>
      <c r="U503" s="7"/>
      <c r="V503" s="7"/>
      <c r="W503" s="56"/>
      <c r="X503" s="11"/>
      <c r="Y503" s="297"/>
      <c r="Z503" s="268"/>
      <c r="AA503" s="141"/>
    </row>
    <row r="504" spans="1:27" ht="33.75" customHeight="1" thickBot="1" x14ac:dyDescent="0.3">
      <c r="A504" s="378" t="s">
        <v>784</v>
      </c>
      <c r="B504" s="630" t="s">
        <v>784</v>
      </c>
      <c r="C504" s="210" t="s">
        <v>784</v>
      </c>
      <c r="D504" s="116" t="s">
        <v>784</v>
      </c>
      <c r="E504" s="800" t="s">
        <v>784</v>
      </c>
      <c r="F504" s="160" t="s">
        <v>784</v>
      </c>
      <c r="G504" s="802" t="s">
        <v>911</v>
      </c>
      <c r="H504" s="99">
        <f>SUM(H502:H503)</f>
        <v>31100</v>
      </c>
      <c r="I504" s="99">
        <f>SUM(I502:I503)</f>
        <v>1404.4888999999998</v>
      </c>
      <c r="J504" s="99">
        <v>770.9674</v>
      </c>
      <c r="K504" s="443">
        <f t="shared" ref="K504:P504" si="32">SUM(K502:K503)</f>
        <v>0</v>
      </c>
      <c r="L504" s="443">
        <v>19695.5111</v>
      </c>
      <c r="M504" s="99">
        <f t="shared" si="32"/>
        <v>-18925.032599999999</v>
      </c>
      <c r="N504" s="99">
        <f t="shared" si="32"/>
        <v>770.96740000000136</v>
      </c>
      <c r="O504" s="438">
        <f t="shared" si="32"/>
        <v>0</v>
      </c>
      <c r="P504" s="413">
        <f t="shared" si="32"/>
        <v>0</v>
      </c>
      <c r="Q504" s="413">
        <f>SUM(Q502:Q503)</f>
        <v>0</v>
      </c>
      <c r="R504" s="441">
        <f t="shared" ref="R504:S504" si="33">SUM(R502:R503)</f>
        <v>0</v>
      </c>
      <c r="S504" s="615">
        <f t="shared" si="33"/>
        <v>5000</v>
      </c>
      <c r="T504" s="413">
        <f>SUM(T502:T503)</f>
        <v>10000</v>
      </c>
      <c r="U504" s="413">
        <f>SUM(U502:U503)</f>
        <v>10000</v>
      </c>
      <c r="V504" s="413">
        <f>SUM(V502:V503)</f>
        <v>8924.5437000000002</v>
      </c>
      <c r="W504" s="100" t="s">
        <v>1662</v>
      </c>
      <c r="X504" s="104" t="s">
        <v>784</v>
      </c>
      <c r="Y504" s="108" t="s">
        <v>784</v>
      </c>
      <c r="Z504" s="579" t="s">
        <v>784</v>
      </c>
      <c r="AA504" s="580" t="s">
        <v>784</v>
      </c>
    </row>
    <row r="505" spans="1:27" ht="33.75" customHeight="1" thickBot="1" x14ac:dyDescent="0.3">
      <c r="A505" s="218" t="s">
        <v>784</v>
      </c>
      <c r="B505" s="630" t="s">
        <v>784</v>
      </c>
      <c r="C505" s="100" t="s">
        <v>784</v>
      </c>
      <c r="D505" s="116" t="s">
        <v>784</v>
      </c>
      <c r="E505" s="820" t="s">
        <v>784</v>
      </c>
      <c r="F505" s="811" t="s">
        <v>784</v>
      </c>
      <c r="G505" s="810" t="s">
        <v>1265</v>
      </c>
      <c r="H505" s="99">
        <f>SUM(H10+H25+H44+H203+H322+H376+H410+H415+H418+H422+H501+H504)</f>
        <v>6586740.5897789989</v>
      </c>
      <c r="I505" s="99">
        <f>SUM(I10+I25+I44+I203+I322+I376+I410+I415+I418+I422+I501+I504)</f>
        <v>1264577.30305</v>
      </c>
      <c r="J505" s="99">
        <v>428714.23345999996</v>
      </c>
      <c r="K505" s="1967">
        <f>SUM(K10+K25+K44+K203+K322+K376+K410+K415+K418+K422+K501+K504)-K380-K381</f>
        <v>1126461.3216489996</v>
      </c>
      <c r="L505" s="413">
        <v>1228283.755409</v>
      </c>
      <c r="M505" s="99">
        <f t="shared" ref="M505:V505" si="34">SUM(M10+M25+M44+M203+M322+M376+M410+M415+M418+M422+M501+M504)</f>
        <v>303441.35940999998</v>
      </c>
      <c r="N505" s="99">
        <f t="shared" si="34"/>
        <v>1555175.6037190002</v>
      </c>
      <c r="O505" s="438">
        <f t="shared" si="34"/>
        <v>39000</v>
      </c>
      <c r="P505" s="413">
        <f t="shared" si="34"/>
        <v>10464.652</v>
      </c>
      <c r="Q505" s="413">
        <f t="shared" si="34"/>
        <v>207198.19492000001</v>
      </c>
      <c r="R505" s="441">
        <f t="shared" si="34"/>
        <v>175456.64840000001</v>
      </c>
      <c r="S505" s="615">
        <f t="shared" si="34"/>
        <v>202023.29370000001</v>
      </c>
      <c r="T505" s="413">
        <f t="shared" si="34"/>
        <v>1228213.5905200001</v>
      </c>
      <c r="U505" s="413">
        <f t="shared" si="34"/>
        <v>1294377.726</v>
      </c>
      <c r="V505" s="413">
        <f t="shared" si="34"/>
        <v>987733.51757000003</v>
      </c>
      <c r="W505" s="134" t="s">
        <v>1524</v>
      </c>
      <c r="X505" s="104" t="s">
        <v>784</v>
      </c>
      <c r="Y505" s="108" t="s">
        <v>784</v>
      </c>
      <c r="Z505" s="219" t="s">
        <v>784</v>
      </c>
      <c r="AA505" s="108" t="s">
        <v>784</v>
      </c>
    </row>
    <row r="506" spans="1:27" ht="33.75" customHeight="1" thickBot="1" x14ac:dyDescent="0.3">
      <c r="A506" s="2108" t="s">
        <v>552</v>
      </c>
      <c r="B506" s="2109"/>
      <c r="C506" s="2109"/>
      <c r="D506" s="2109"/>
      <c r="E506" s="2109"/>
      <c r="F506" s="2109"/>
      <c r="G506" s="2091" t="s">
        <v>1264</v>
      </c>
      <c r="H506" s="503">
        <f t="shared" ref="H506:V506" si="35">SUM(H505:H505)</f>
        <v>6586740.5897789989</v>
      </c>
      <c r="I506" s="99">
        <f t="shared" si="35"/>
        <v>1264577.30305</v>
      </c>
      <c r="J506" s="99">
        <v>465014.23345999996</v>
      </c>
      <c r="K506" s="503">
        <f>SUM(K505:K505)+K380+K381</f>
        <v>1129161.3216489996</v>
      </c>
      <c r="L506" s="615">
        <v>1228283.755409</v>
      </c>
      <c r="M506" s="99">
        <f t="shared" si="35"/>
        <v>303441.35940999998</v>
      </c>
      <c r="N506" s="99">
        <f t="shared" si="35"/>
        <v>1555175.6037190002</v>
      </c>
      <c r="O506" s="438">
        <f t="shared" si="35"/>
        <v>39000</v>
      </c>
      <c r="P506" s="413">
        <f t="shared" si="35"/>
        <v>10464.652</v>
      </c>
      <c r="Q506" s="413">
        <f t="shared" si="35"/>
        <v>207198.19492000001</v>
      </c>
      <c r="R506" s="441">
        <f t="shared" si="35"/>
        <v>175456.64840000001</v>
      </c>
      <c r="S506" s="615">
        <f t="shared" si="35"/>
        <v>202023.29370000001</v>
      </c>
      <c r="T506" s="413">
        <f t="shared" si="35"/>
        <v>1228213.5905200001</v>
      </c>
      <c r="U506" s="413">
        <f t="shared" si="35"/>
        <v>1294377.726</v>
      </c>
      <c r="V506" s="438">
        <f t="shared" si="35"/>
        <v>987733.51757000003</v>
      </c>
      <c r="W506" s="1979"/>
      <c r="X506" s="134" t="s">
        <v>784</v>
      </c>
      <c r="Y506" s="105" t="s">
        <v>784</v>
      </c>
      <c r="Z506" s="407" t="s">
        <v>784</v>
      </c>
      <c r="AA506" s="105" t="s">
        <v>784</v>
      </c>
    </row>
    <row r="507" spans="1:27" ht="21" customHeight="1" thickBot="1" x14ac:dyDescent="0.3">
      <c r="A507" s="162"/>
      <c r="B507" s="93"/>
      <c r="C507" s="63"/>
      <c r="D507" s="63"/>
      <c r="E507" s="63"/>
      <c r="F507" s="63"/>
      <c r="G507" s="2092"/>
      <c r="H507" s="97"/>
      <c r="I507" s="98"/>
      <c r="J507" s="98"/>
      <c r="K507" s="98" t="s">
        <v>554</v>
      </c>
      <c r="L507" s="16"/>
      <c r="M507" s="416"/>
      <c r="N507" s="2138">
        <f>N506+O506</f>
        <v>1594175.6037190002</v>
      </c>
      <c r="O507" s="2139"/>
      <c r="P507" s="97"/>
      <c r="Q507" s="97"/>
      <c r="R507" s="97"/>
      <c r="S507" s="97"/>
      <c r="T507" s="97"/>
      <c r="U507" s="97"/>
      <c r="V507" s="97" t="s">
        <v>554</v>
      </c>
      <c r="W507" s="62"/>
      <c r="X507" s="62"/>
      <c r="Y507" s="111"/>
      <c r="Z507" s="111"/>
      <c r="AA507" s="111"/>
    </row>
    <row r="508" spans="1:27" x14ac:dyDescent="0.25">
      <c r="A508" s="162"/>
      <c r="B508" s="93"/>
      <c r="C508" s="63"/>
      <c r="D508" s="63"/>
      <c r="E508" s="63" t="s">
        <v>554</v>
      </c>
      <c r="F508" s="63"/>
      <c r="G508" s="64"/>
      <c r="H508" s="97"/>
      <c r="I508" s="98"/>
      <c r="J508" s="98"/>
      <c r="K508" s="98"/>
      <c r="L508" s="16"/>
      <c r="M508" s="417"/>
      <c r="N508" s="411"/>
      <c r="O508" s="97"/>
      <c r="P508" s="97"/>
      <c r="Q508" s="97"/>
      <c r="R508" s="97"/>
      <c r="S508" s="97"/>
      <c r="T508" s="97"/>
      <c r="U508" s="158"/>
      <c r="V508" s="158"/>
      <c r="W508" s="62"/>
      <c r="X508" s="62"/>
      <c r="Y508" s="111"/>
      <c r="Z508" s="111"/>
      <c r="AA508" s="111"/>
    </row>
    <row r="509" spans="1:27" x14ac:dyDescent="0.25">
      <c r="A509" s="162"/>
      <c r="B509" s="93"/>
      <c r="C509" s="63"/>
      <c r="D509" s="63"/>
      <c r="E509" s="63"/>
      <c r="F509" s="63"/>
      <c r="G509" s="170"/>
      <c r="H509" s="2135"/>
      <c r="I509" s="2135"/>
      <c r="J509" s="640"/>
      <c r="K509" s="98"/>
      <c r="L509" s="16"/>
      <c r="M509" s="417"/>
      <c r="N509" s="411"/>
      <c r="O509" s="97"/>
      <c r="P509" s="97"/>
      <c r="Q509" s="97"/>
      <c r="R509" s="97"/>
      <c r="S509" s="97"/>
      <c r="T509" s="97"/>
      <c r="U509" s="158"/>
      <c r="V509" s="158"/>
      <c r="W509" s="62"/>
      <c r="X509" s="62"/>
      <c r="Y509" s="111"/>
      <c r="Z509" s="111"/>
      <c r="AA509" s="111"/>
    </row>
    <row r="510" spans="1:27" ht="27.75" customHeight="1" thickBot="1" x14ac:dyDescent="0.3">
      <c r="A510" s="162"/>
      <c r="B510" s="93"/>
      <c r="C510" s="63"/>
      <c r="D510" s="63"/>
      <c r="E510" s="63"/>
      <c r="F510" s="63"/>
      <c r="G510" s="170"/>
      <c r="H510" s="170"/>
      <c r="I510" s="170"/>
      <c r="J510" s="170"/>
      <c r="K510" s="170"/>
      <c r="L510" s="16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62"/>
      <c r="Y510" s="111"/>
      <c r="Z510" s="111"/>
      <c r="AA510" s="111"/>
    </row>
    <row r="511" spans="1:27" ht="18" x14ac:dyDescent="0.25">
      <c r="A511" s="2104" t="s">
        <v>553</v>
      </c>
      <c r="B511" s="2105"/>
      <c r="C511" s="2106"/>
      <c r="D511" s="2107"/>
      <c r="E511" s="63" t="s">
        <v>554</v>
      </c>
      <c r="F511" s="63"/>
      <c r="G511" s="64"/>
      <c r="H511" s="64"/>
      <c r="I511" s="64"/>
      <c r="J511" s="64"/>
      <c r="K511" s="64"/>
      <c r="L511" s="16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111"/>
      <c r="Y511" s="111"/>
      <c r="Z511" s="111"/>
      <c r="AA511" s="111"/>
    </row>
    <row r="512" spans="1:27" ht="21.75" customHeight="1" x14ac:dyDescent="0.25">
      <c r="A512" s="2097" t="s">
        <v>782</v>
      </c>
      <c r="B512" s="2095"/>
      <c r="C512" s="2098" t="s">
        <v>555</v>
      </c>
      <c r="D512" s="2099"/>
      <c r="E512" s="63"/>
      <c r="F512" s="63"/>
      <c r="G512" s="64"/>
      <c r="H512" s="97"/>
      <c r="I512" s="98"/>
      <c r="J512" s="98"/>
      <c r="L512" s="16"/>
      <c r="M512" s="411"/>
      <c r="N512" s="411"/>
      <c r="O512" s="97"/>
      <c r="P512" s="97"/>
      <c r="Q512" s="97"/>
      <c r="R512" s="97"/>
      <c r="S512" s="97"/>
      <c r="T512" s="158"/>
      <c r="U512" s="158"/>
      <c r="V512" s="62"/>
      <c r="W512" s="62"/>
      <c r="X512" s="111"/>
      <c r="Y512" s="111"/>
      <c r="Z512" s="111"/>
      <c r="AA512" s="111"/>
    </row>
    <row r="513" spans="1:27" ht="33.75" customHeight="1" x14ac:dyDescent="0.25">
      <c r="A513" s="2102" t="s">
        <v>556</v>
      </c>
      <c r="B513" s="2103"/>
      <c r="C513" s="2095" t="s">
        <v>675</v>
      </c>
      <c r="D513" s="2096"/>
      <c r="E513" s="63"/>
      <c r="F513" s="63"/>
      <c r="G513" s="64"/>
      <c r="H513" s="97"/>
      <c r="I513" s="98"/>
      <c r="J513" s="98"/>
      <c r="K513" s="16"/>
      <c r="L513" s="16"/>
      <c r="M513" s="411"/>
      <c r="N513" s="411"/>
      <c r="O513" s="97"/>
      <c r="P513" s="97"/>
      <c r="Q513" s="97"/>
      <c r="R513" s="97"/>
      <c r="S513" s="97"/>
      <c r="T513" s="158"/>
      <c r="U513" s="158"/>
      <c r="V513" s="62"/>
      <c r="W513" s="62"/>
      <c r="X513" s="111"/>
      <c r="Y513" s="111"/>
      <c r="Z513" s="111"/>
      <c r="AA513" s="111"/>
    </row>
    <row r="514" spans="1:27" ht="33.75" customHeight="1" x14ac:dyDescent="0.25">
      <c r="A514" s="2093" t="s">
        <v>557</v>
      </c>
      <c r="B514" s="2094"/>
      <c r="C514" s="2095" t="s">
        <v>558</v>
      </c>
      <c r="D514" s="2096"/>
      <c r="E514" s="63" t="s">
        <v>554</v>
      </c>
      <c r="F514" s="63"/>
      <c r="G514" s="64"/>
      <c r="H514" s="97"/>
      <c r="I514" s="98"/>
      <c r="J514" s="98"/>
      <c r="K514" s="16"/>
      <c r="L514" s="16"/>
      <c r="M514" s="411"/>
      <c r="O514" s="788"/>
      <c r="P514" s="97"/>
      <c r="Q514" s="97"/>
      <c r="R514" s="97"/>
      <c r="S514" s="97"/>
      <c r="T514" s="158"/>
      <c r="U514" s="158"/>
      <c r="V514" s="62"/>
      <c r="W514" s="62"/>
      <c r="X514" s="111" t="s">
        <v>554</v>
      </c>
      <c r="Y514" s="111"/>
      <c r="Z514" s="111"/>
      <c r="AA514" s="111"/>
    </row>
    <row r="515" spans="1:27" ht="33.75" customHeight="1" x14ac:dyDescent="0.25">
      <c r="A515" s="2100" t="s">
        <v>779</v>
      </c>
      <c r="B515" s="2101"/>
      <c r="C515" s="2095" t="s">
        <v>559</v>
      </c>
      <c r="D515" s="2096"/>
      <c r="E515" s="63"/>
      <c r="F515" s="63"/>
      <c r="G515" s="64"/>
      <c r="H515" s="97"/>
      <c r="I515" s="98"/>
      <c r="J515" s="98"/>
      <c r="K515" s="16"/>
      <c r="L515" s="417"/>
      <c r="M515" s="411"/>
      <c r="N515" s="411"/>
      <c r="O515" s="97"/>
      <c r="P515" s="97"/>
      <c r="Q515" s="97"/>
      <c r="R515" s="97"/>
      <c r="S515" s="97"/>
      <c r="T515" s="158"/>
      <c r="U515" s="158"/>
      <c r="V515" s="62"/>
      <c r="W515" s="62"/>
      <c r="X515" s="111"/>
      <c r="Y515" s="111"/>
      <c r="Z515" s="111"/>
      <c r="AA515" s="111"/>
    </row>
    <row r="516" spans="1:27" ht="37.5" customHeight="1" thickBot="1" x14ac:dyDescent="0.3">
      <c r="A516" s="2087" t="s">
        <v>781</v>
      </c>
      <c r="B516" s="2088"/>
      <c r="C516" s="2089" t="s">
        <v>560</v>
      </c>
      <c r="D516" s="2090"/>
      <c r="E516" s="63"/>
      <c r="F516" s="63"/>
      <c r="G516" s="64"/>
      <c r="H516" s="97"/>
      <c r="I516" s="98"/>
      <c r="J516" s="98"/>
      <c r="K516" s="16"/>
      <c r="L516" s="417"/>
      <c r="M516" s="411"/>
      <c r="N516" s="411"/>
      <c r="O516" s="97"/>
      <c r="P516" s="97"/>
      <c r="Q516" s="97"/>
      <c r="R516" s="97"/>
      <c r="S516" s="97"/>
      <c r="T516" s="158"/>
      <c r="U516" s="158"/>
      <c r="V516" s="62"/>
      <c r="W516" s="62"/>
      <c r="X516" s="111"/>
      <c r="Y516" s="111"/>
      <c r="Z516" s="111"/>
      <c r="AA516" s="111"/>
    </row>
    <row r="517" spans="1:27" ht="44.25" customHeight="1" thickBot="1" x14ac:dyDescent="0.3">
      <c r="A517" s="2084" t="s">
        <v>1042</v>
      </c>
      <c r="B517" s="2085"/>
      <c r="C517" s="2085"/>
      <c r="D517" s="2086"/>
      <c r="E517" s="63"/>
      <c r="F517" s="63"/>
      <c r="G517" s="64"/>
      <c r="H517" s="97"/>
      <c r="I517" s="98"/>
      <c r="J517" s="98"/>
      <c r="K517" s="16"/>
      <c r="L517" s="417"/>
      <c r="M517" s="411"/>
      <c r="N517" s="411" t="s">
        <v>554</v>
      </c>
      <c r="O517" s="97"/>
      <c r="P517" s="97"/>
      <c r="Q517" s="97"/>
      <c r="R517" s="97"/>
      <c r="S517" s="97"/>
      <c r="T517" s="158"/>
      <c r="U517" s="158"/>
      <c r="V517" s="62"/>
      <c r="W517" s="62"/>
      <c r="X517" s="111"/>
      <c r="Y517" s="111"/>
      <c r="Z517" s="111"/>
      <c r="AA517" s="111"/>
    </row>
    <row r="518" spans="1:27" ht="22.5" customHeight="1" thickBot="1" x14ac:dyDescent="0.3">
      <c r="A518" s="242"/>
      <c r="B518" s="242"/>
      <c r="C518" s="242"/>
      <c r="D518" s="242"/>
      <c r="E518" s="2117" t="s">
        <v>561</v>
      </c>
      <c r="F518" s="2118"/>
      <c r="G518" s="171"/>
      <c r="H518" s="127" t="s">
        <v>0</v>
      </c>
      <c r="I518" s="98"/>
      <c r="J518" s="98"/>
      <c r="K518" s="16"/>
      <c r="L518" s="417"/>
      <c r="M518" s="411"/>
      <c r="N518" s="411"/>
      <c r="O518" s="97"/>
      <c r="P518" s="97"/>
      <c r="Q518" s="97"/>
      <c r="R518" s="97"/>
      <c r="S518" s="97"/>
      <c r="T518" s="158"/>
      <c r="U518" s="158"/>
      <c r="V518" s="62"/>
      <c r="W518" s="62"/>
      <c r="X518" s="111"/>
      <c r="Y518" s="111"/>
      <c r="Z518" s="111"/>
      <c r="AA518" s="111"/>
    </row>
    <row r="519" spans="1:27" ht="22.5" customHeight="1" x14ac:dyDescent="0.25">
      <c r="A519" s="162"/>
      <c r="B519" s="93"/>
      <c r="C519" s="63"/>
      <c r="D519" s="63"/>
      <c r="E519" s="153" t="s">
        <v>1015</v>
      </c>
      <c r="F519" s="163"/>
      <c r="G519" s="172"/>
      <c r="H519" s="128">
        <v>486450</v>
      </c>
      <c r="I519" s="98"/>
      <c r="J519" s="98"/>
      <c r="K519" s="16"/>
      <c r="L519" s="417"/>
      <c r="M519" s="411"/>
      <c r="N519" s="411"/>
      <c r="O519" s="97"/>
      <c r="P519" s="97"/>
      <c r="Q519" s="97"/>
      <c r="R519" s="97"/>
      <c r="S519" s="97"/>
      <c r="T519" s="158"/>
      <c r="U519" s="158"/>
      <c r="V519" s="62"/>
      <c r="W519" s="62"/>
      <c r="X519" s="111"/>
      <c r="Y519" s="111"/>
      <c r="Z519" s="111"/>
      <c r="AA519" s="111"/>
    </row>
    <row r="520" spans="1:27" ht="22.5" customHeight="1" x14ac:dyDescent="0.25">
      <c r="A520" s="162"/>
      <c r="B520" s="93"/>
      <c r="C520" s="63"/>
      <c r="D520" s="63"/>
      <c r="E520" s="154" t="s">
        <v>1018</v>
      </c>
      <c r="F520" s="149"/>
      <c r="G520" s="173"/>
      <c r="H520" s="129">
        <v>140000</v>
      </c>
      <c r="I520" s="98"/>
      <c r="J520" s="98"/>
      <c r="K520" s="16"/>
      <c r="L520" s="417"/>
      <c r="M520" s="411"/>
      <c r="N520" s="411"/>
      <c r="O520" s="97"/>
      <c r="P520" s="97"/>
      <c r="Q520" s="97"/>
      <c r="R520" s="97"/>
      <c r="S520" s="97"/>
      <c r="T520" s="158"/>
      <c r="U520" s="158"/>
      <c r="V520" s="62"/>
      <c r="W520" s="62"/>
      <c r="X520" s="111"/>
      <c r="Y520" s="111"/>
      <c r="Z520" s="111"/>
      <c r="AA520" s="111"/>
    </row>
    <row r="521" spans="1:27" ht="22.5" customHeight="1" x14ac:dyDescent="0.25">
      <c r="A521" s="162"/>
      <c r="B521" s="93"/>
      <c r="C521" s="63"/>
      <c r="D521" s="63"/>
      <c r="E521" s="155" t="s">
        <v>1017</v>
      </c>
      <c r="F521" s="150"/>
      <c r="G521" s="174"/>
      <c r="H521" s="130">
        <v>489338</v>
      </c>
      <c r="I521" s="98"/>
      <c r="J521" s="98"/>
      <c r="K521" s="16"/>
      <c r="L521" s="417"/>
      <c r="M521" s="411"/>
      <c r="N521" s="411"/>
      <c r="O521" s="97"/>
      <c r="P521" s="97"/>
      <c r="Q521" s="97"/>
      <c r="R521" s="97"/>
      <c r="S521" s="97"/>
      <c r="T521" s="158"/>
      <c r="U521" s="158"/>
      <c r="V521" s="62"/>
      <c r="W521" s="62"/>
      <c r="X521" s="111"/>
      <c r="Y521" s="111"/>
      <c r="Z521" s="111"/>
      <c r="AA521" s="111"/>
    </row>
    <row r="522" spans="1:27" ht="22.5" customHeight="1" x14ac:dyDescent="0.25">
      <c r="A522" s="162"/>
      <c r="B522" s="93"/>
      <c r="C522" s="63"/>
      <c r="D522" s="63"/>
      <c r="E522" s="155" t="s">
        <v>1631</v>
      </c>
      <c r="F522" s="150"/>
      <c r="G522" s="174"/>
      <c r="H522" s="130">
        <v>314.81747000000001</v>
      </c>
      <c r="I522" s="98"/>
      <c r="J522" s="98"/>
      <c r="K522" s="16"/>
      <c r="L522" s="417"/>
      <c r="M522" s="411"/>
      <c r="N522" s="411"/>
      <c r="O522" s="97"/>
      <c r="P522" s="97"/>
      <c r="Q522" s="97"/>
      <c r="R522" s="97"/>
      <c r="S522" s="97"/>
      <c r="T522" s="158"/>
      <c r="U522" s="158"/>
      <c r="V522" s="62"/>
      <c r="W522" s="62"/>
      <c r="X522" s="111"/>
      <c r="Y522" s="111"/>
      <c r="Z522" s="111"/>
      <c r="AA522" s="111"/>
    </row>
    <row r="523" spans="1:27" ht="22.5" customHeight="1" x14ac:dyDescent="0.25">
      <c r="A523" s="162"/>
      <c r="B523" s="93"/>
      <c r="C523" s="63"/>
      <c r="D523" s="63"/>
      <c r="E523" s="155" t="s">
        <v>1614</v>
      </c>
      <c r="F523" s="150"/>
      <c r="G523" s="1929"/>
      <c r="H523" s="130">
        <v>41479</v>
      </c>
      <c r="I523" s="98"/>
      <c r="J523" s="98"/>
      <c r="K523" s="16"/>
      <c r="L523" s="417"/>
      <c r="M523" s="411"/>
      <c r="N523" s="411"/>
      <c r="O523" s="97"/>
      <c r="P523" s="97"/>
      <c r="Q523" s="97"/>
      <c r="R523" s="97"/>
      <c r="S523" s="97"/>
      <c r="T523" s="158"/>
      <c r="U523" s="158"/>
      <c r="V523" s="62"/>
      <c r="W523" s="62"/>
      <c r="X523" s="111"/>
      <c r="Y523" s="111"/>
      <c r="Z523" s="111"/>
      <c r="AA523" s="111"/>
    </row>
    <row r="524" spans="1:27" ht="22.5" customHeight="1" thickBot="1" x14ac:dyDescent="0.3">
      <c r="A524" s="162"/>
      <c r="B524" s="93"/>
      <c r="C524" s="63"/>
      <c r="D524" s="63"/>
      <c r="E524" s="156" t="s">
        <v>1615</v>
      </c>
      <c r="F524" s="151"/>
      <c r="G524" s="175"/>
      <c r="H524" s="131">
        <v>374000</v>
      </c>
      <c r="I524" s="98"/>
      <c r="J524" s="98"/>
      <c r="K524" s="16"/>
      <c r="L524" s="417"/>
      <c r="M524" s="411"/>
      <c r="N524" s="411"/>
      <c r="O524" s="97"/>
      <c r="P524" s="97"/>
      <c r="Q524" s="97"/>
      <c r="R524" s="97"/>
      <c r="S524" s="97"/>
      <c r="T524" s="158"/>
      <c r="U524" s="158"/>
      <c r="V524" s="62"/>
      <c r="W524" s="62"/>
      <c r="X524" s="111"/>
      <c r="Y524" s="111"/>
      <c r="Z524" s="111"/>
      <c r="AA524" s="111"/>
    </row>
    <row r="525" spans="1:27" ht="22.5" customHeight="1" thickBot="1" x14ac:dyDescent="0.3">
      <c r="A525" s="162"/>
      <c r="B525" s="93"/>
      <c r="C525" s="63"/>
      <c r="D525" s="63"/>
      <c r="E525" s="152" t="s">
        <v>562</v>
      </c>
      <c r="F525" s="148"/>
      <c r="G525" s="171"/>
      <c r="H525" s="132">
        <f>SUM(H519:H524)</f>
        <v>1531581.8174699999</v>
      </c>
      <c r="I525" s="98"/>
      <c r="J525" s="98"/>
      <c r="K525" s="16"/>
      <c r="L525" s="417"/>
      <c r="M525" s="411"/>
      <c r="N525" s="411"/>
      <c r="O525" s="97"/>
      <c r="P525" s="97"/>
      <c r="Q525" s="97"/>
      <c r="R525" s="97"/>
      <c r="S525" s="97"/>
      <c r="T525" s="158"/>
      <c r="U525" s="158"/>
      <c r="V525" s="62"/>
      <c r="W525" s="62"/>
      <c r="X525" s="111"/>
      <c r="Y525" s="111"/>
      <c r="Z525" s="111"/>
      <c r="AA525" s="111"/>
    </row>
    <row r="526" spans="1:27" ht="22.5" customHeight="1" thickBot="1" x14ac:dyDescent="0.3">
      <c r="A526" s="162"/>
      <c r="B526" s="93"/>
      <c r="C526" s="63"/>
      <c r="D526" s="63"/>
      <c r="E526" s="243"/>
      <c r="F526" s="244"/>
      <c r="G526" s="245"/>
      <c r="H526" s="246"/>
      <c r="I526" s="98"/>
      <c r="J526" s="98"/>
      <c r="K526" s="16"/>
      <c r="L526" s="417"/>
      <c r="M526" s="411"/>
      <c r="N526" s="411"/>
      <c r="O526" s="97"/>
      <c r="P526" s="97"/>
      <c r="Q526" s="97"/>
      <c r="R526" s="97"/>
      <c r="S526" s="97"/>
      <c r="T526" s="158"/>
      <c r="U526" s="158"/>
      <c r="V526" s="62"/>
      <c r="W526" s="62"/>
      <c r="X526" s="111"/>
      <c r="Y526" s="111"/>
      <c r="Z526" s="111"/>
      <c r="AA526" s="111"/>
    </row>
    <row r="527" spans="1:27" ht="22.5" customHeight="1" thickBot="1" x14ac:dyDescent="0.3">
      <c r="A527" s="162"/>
      <c r="B527" s="93"/>
      <c r="C527" s="63"/>
      <c r="D527" s="63"/>
      <c r="E527" s="2117" t="s">
        <v>563</v>
      </c>
      <c r="F527" s="2118"/>
      <c r="G527" s="171"/>
      <c r="H527" s="133"/>
      <c r="I527" s="98"/>
      <c r="J527" s="98"/>
      <c r="K527" s="16"/>
      <c r="L527" s="417"/>
      <c r="M527" s="411"/>
      <c r="N527" s="411"/>
      <c r="O527" s="97"/>
      <c r="P527" s="97"/>
      <c r="Q527" s="97"/>
      <c r="R527" s="97"/>
      <c r="S527" s="97"/>
      <c r="T527" s="158"/>
      <c r="U527" s="158"/>
      <c r="V527" s="62"/>
      <c r="W527" s="62"/>
      <c r="X527" s="111"/>
      <c r="Y527" s="111"/>
      <c r="Z527" s="111"/>
      <c r="AA527" s="111"/>
    </row>
    <row r="528" spans="1:27" ht="22.5" customHeight="1" x14ac:dyDescent="0.25">
      <c r="A528" s="162"/>
      <c r="B528" s="93"/>
      <c r="C528" s="63"/>
      <c r="D528" s="63"/>
      <c r="E528" s="154" t="s">
        <v>906</v>
      </c>
      <c r="F528" s="149"/>
      <c r="G528" s="173"/>
      <c r="H528" s="129">
        <f>N505</f>
        <v>1555175.6037190002</v>
      </c>
      <c r="I528" s="98"/>
      <c r="J528" s="98"/>
      <c r="K528" s="16"/>
      <c r="L528" s="417"/>
      <c r="M528" s="411"/>
      <c r="N528" s="411"/>
      <c r="O528" s="97"/>
      <c r="P528" s="97"/>
      <c r="Q528" s="97"/>
      <c r="R528" s="97"/>
      <c r="S528" s="97"/>
      <c r="T528" s="158"/>
      <c r="U528" s="158"/>
      <c r="V528" s="62"/>
      <c r="W528" s="62"/>
      <c r="X528" s="111"/>
      <c r="Y528" s="111"/>
      <c r="Z528" s="111"/>
      <c r="AA528" s="111"/>
    </row>
    <row r="529" spans="1:27" ht="22.5" customHeight="1" thickBot="1" x14ac:dyDescent="0.3">
      <c r="A529" s="162"/>
      <c r="B529" s="93"/>
      <c r="C529" s="63"/>
      <c r="D529" s="63"/>
      <c r="E529" s="154" t="s">
        <v>10</v>
      </c>
      <c r="F529" s="149"/>
      <c r="G529" s="173"/>
      <c r="H529" s="129">
        <f>O505</f>
        <v>39000</v>
      </c>
      <c r="I529" s="98"/>
      <c r="J529" s="98"/>
      <c r="K529" s="16"/>
      <c r="L529" s="417"/>
      <c r="M529" s="411"/>
      <c r="N529" s="411"/>
      <c r="O529" s="97"/>
      <c r="P529" s="97"/>
      <c r="Q529" s="97"/>
      <c r="R529" s="97"/>
      <c r="S529" s="97"/>
      <c r="T529" s="158"/>
      <c r="U529" s="158"/>
      <c r="V529" s="62"/>
      <c r="W529" s="62"/>
      <c r="X529" s="111"/>
      <c r="Y529" s="111"/>
      <c r="Z529" s="111"/>
      <c r="AA529" s="111"/>
    </row>
    <row r="530" spans="1:27" ht="22.5" customHeight="1" thickBot="1" x14ac:dyDescent="0.3">
      <c r="A530" s="162"/>
      <c r="B530" s="93"/>
      <c r="C530" s="63"/>
      <c r="D530" s="63"/>
      <c r="E530" s="152" t="s">
        <v>564</v>
      </c>
      <c r="F530" s="148"/>
      <c r="G530" s="171"/>
      <c r="H530" s="132">
        <f>SUM(H528:H529)</f>
        <v>1594175.6037190002</v>
      </c>
      <c r="I530" s="98"/>
      <c r="J530" s="98"/>
      <c r="K530" s="16"/>
      <c r="L530" s="417"/>
      <c r="M530" s="411"/>
      <c r="N530" s="411"/>
      <c r="O530" s="97"/>
      <c r="P530" s="97"/>
      <c r="Q530" s="97"/>
      <c r="R530" s="97"/>
      <c r="S530" s="97"/>
      <c r="T530" s="158"/>
      <c r="U530" s="158"/>
      <c r="V530" s="62"/>
      <c r="W530" s="62"/>
      <c r="X530" s="111"/>
      <c r="Y530" s="111"/>
      <c r="Z530" s="111"/>
      <c r="AA530" s="111"/>
    </row>
    <row r="531" spans="1:27" x14ac:dyDescent="0.25">
      <c r="A531" s="162"/>
      <c r="B531" s="93"/>
      <c r="C531" s="63"/>
      <c r="D531" s="63"/>
      <c r="E531" s="63"/>
      <c r="F531" s="63"/>
      <c r="G531" s="64"/>
      <c r="H531" s="97"/>
      <c r="I531" s="98"/>
      <c r="J531" s="98"/>
      <c r="K531" s="16"/>
      <c r="L531" s="417"/>
      <c r="M531" s="411"/>
      <c r="N531" s="411"/>
      <c r="O531" s="97"/>
      <c r="P531" s="97"/>
      <c r="Q531" s="97"/>
      <c r="R531" s="97"/>
      <c r="S531" s="97"/>
      <c r="T531" s="158"/>
      <c r="U531" s="158"/>
      <c r="V531" s="62"/>
      <c r="W531" s="62"/>
      <c r="X531" s="111"/>
      <c r="Y531" s="111"/>
      <c r="Z531" s="111"/>
      <c r="AA531" s="111"/>
    </row>
    <row r="532" spans="1:27" x14ac:dyDescent="0.25">
      <c r="A532" s="162"/>
      <c r="B532" s="93"/>
      <c r="C532" s="63"/>
      <c r="D532" s="63"/>
      <c r="E532" s="63"/>
      <c r="F532" s="63"/>
      <c r="G532" s="64"/>
      <c r="H532" s="125"/>
      <c r="I532" s="126"/>
      <c r="J532" s="126"/>
      <c r="K532" s="16"/>
      <c r="L532" s="418"/>
      <c r="M532" s="419"/>
      <c r="N532" s="419"/>
      <c r="O532" s="125"/>
      <c r="P532" s="125"/>
      <c r="Q532" s="125"/>
      <c r="R532" s="125"/>
      <c r="S532" s="125"/>
      <c r="T532" s="159"/>
      <c r="U532" s="159"/>
      <c r="V532" s="62"/>
      <c r="W532" s="62"/>
      <c r="X532" s="111"/>
      <c r="Y532" s="111"/>
      <c r="Z532" s="111"/>
      <c r="AA532" s="111"/>
    </row>
  </sheetData>
  <autoFilter ref="A4:AA508" xr:uid="{00000000-0009-0000-0000-000001000000}"/>
  <mergeCells count="41">
    <mergeCell ref="W2:W3"/>
    <mergeCell ref="K2:K3"/>
    <mergeCell ref="G2:G3"/>
    <mergeCell ref="R2:T2"/>
    <mergeCell ref="H2:H3"/>
    <mergeCell ref="E527:F527"/>
    <mergeCell ref="H509:I509"/>
    <mergeCell ref="I2:I3"/>
    <mergeCell ref="V2:V3"/>
    <mergeCell ref="N507:O507"/>
    <mergeCell ref="L2:O2"/>
    <mergeCell ref="X1:AA1"/>
    <mergeCell ref="J2:J3"/>
    <mergeCell ref="U2:U3"/>
    <mergeCell ref="A1:W1"/>
    <mergeCell ref="E518:F518"/>
    <mergeCell ref="A2:A3"/>
    <mergeCell ref="B2:B3"/>
    <mergeCell ref="AA2:AA3"/>
    <mergeCell ref="P2:Q2"/>
    <mergeCell ref="E2:E3"/>
    <mergeCell ref="C2:C3"/>
    <mergeCell ref="D2:D3"/>
    <mergeCell ref="F2:F3"/>
    <mergeCell ref="Y2:Y3"/>
    <mergeCell ref="Z2:Z3"/>
    <mergeCell ref="X2:X3"/>
    <mergeCell ref="A517:D517"/>
    <mergeCell ref="A516:B516"/>
    <mergeCell ref="C516:D516"/>
    <mergeCell ref="G506:G507"/>
    <mergeCell ref="A514:B514"/>
    <mergeCell ref="C514:D514"/>
    <mergeCell ref="A512:B512"/>
    <mergeCell ref="C512:D512"/>
    <mergeCell ref="A515:B515"/>
    <mergeCell ref="C515:D515"/>
    <mergeCell ref="A513:B513"/>
    <mergeCell ref="A511:D511"/>
    <mergeCell ref="C513:D513"/>
    <mergeCell ref="A506:F506"/>
  </mergeCells>
  <pageMargins left="0.70866141732283472" right="0.70866141732283472" top="0.78740157480314965" bottom="0.78740157480314965" header="0.31496062992125984" footer="0.31496062992125984"/>
  <pageSetup paperSize="8" scale="44" fitToHeight="0" orientation="landscape" r:id="rId1"/>
  <headerFooter>
    <oddFooter>&amp;L&amp;D&amp;Cstr.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AKTUÁLNÍ PI zm. č.5</vt:lpstr>
      <vt:lpstr>'AKTUÁLNÍ PI zm. č.5'!Názvy_tisku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2019-11-19T08:08:32Z</dcterms:modified>
</cp:coreProperties>
</file>